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US\AppData\Roaming\VNPT Plugin\Files\FileTemp\"/>
    </mc:Choice>
  </mc:AlternateContent>
  <bookViews>
    <workbookView xWindow="0" yWindow="1740" windowWidth="20472" windowHeight="6300" activeTab="9"/>
  </bookViews>
  <sheets>
    <sheet name="THU HUYEN " sheetId="74" r:id="rId1"/>
    <sheet name="CHI HUYEN" sheetId="73" r:id="rId2"/>
    <sheet name="Pb HC" sheetId="76" r:id="rId3"/>
    <sheet name="SNKT" sheetId="71" r:id="rId4"/>
    <sheet name="SNMT" sheetId="72" r:id="rId5"/>
    <sheet name="Van xa" sheetId="24" r:id="rId6"/>
    <sheet name="Tluong truong" sheetId="9" state="hidden" r:id="rId7"/>
    <sheet name="QP" sheetId="2" r:id="rId8"/>
    <sheet name="CTMT" sheetId="77" r:id="rId9"/>
    <sheet name="Chi khác" sheetId="80" r:id="rId10"/>
    <sheet name="Sheet1" sheetId="81" r:id="rId11"/>
  </sheets>
  <definedNames>
    <definedName name="_xlnm.Print_Area" localSheetId="1">'CHI HUYEN'!$A:$F</definedName>
    <definedName name="_xlnm.Print_Area" localSheetId="9">'Chi khác'!$A:$D</definedName>
    <definedName name="_xlnm.Print_Area" localSheetId="2">'Pb HC'!$A:$F</definedName>
    <definedName name="_xlnm.Print_Area" localSheetId="7">QP!$A:$C</definedName>
    <definedName name="_xlnm.Print_Area" localSheetId="3">SNKT!$A:$D</definedName>
    <definedName name="_xlnm.Print_Area" localSheetId="4">SNMT!$A:$D</definedName>
    <definedName name="_xlnm.Print_Area" localSheetId="0">'THU HUYEN '!$B$1:$G$21</definedName>
    <definedName name="_xlnm.Print_Titles" localSheetId="2">'Pb HC'!$5:$7</definedName>
    <definedName name="_xlnm.Print_Titles" localSheetId="5">'Van xa'!$5:$7</definedName>
  </definedNames>
  <calcPr calcId="162913"/>
</workbook>
</file>

<file path=xl/calcChain.xml><?xml version="1.0" encoding="utf-8"?>
<calcChain xmlns="http://schemas.openxmlformats.org/spreadsheetml/2006/main">
  <c r="E91" i="24" l="1"/>
  <c r="D24" i="77" l="1"/>
  <c r="C21" i="77"/>
  <c r="C20" i="77"/>
  <c r="C22" i="77" s="1"/>
  <c r="C19" i="77"/>
  <c r="C18" i="77"/>
  <c r="E17" i="77"/>
  <c r="C17" i="77"/>
  <c r="E16" i="77"/>
  <c r="C16" i="77"/>
  <c r="C15" i="77"/>
  <c r="C14" i="77"/>
  <c r="C13" i="77"/>
  <c r="E12" i="77"/>
  <c r="C11" i="77"/>
  <c r="C8" i="77"/>
  <c r="E24" i="77" l="1"/>
  <c r="C12" i="77"/>
  <c r="C24" i="77" s="1"/>
  <c r="G9" i="74" l="1"/>
  <c r="E28" i="73" l="1"/>
  <c r="E104" i="76" l="1"/>
  <c r="E20" i="74" l="1"/>
  <c r="F20" i="74" s="1"/>
  <c r="E19" i="74"/>
  <c r="F19" i="74" s="1"/>
  <c r="F12" i="74" l="1"/>
  <c r="E10" i="74"/>
  <c r="F10" i="74" s="1"/>
  <c r="E11" i="74"/>
  <c r="F11" i="74" s="1"/>
  <c r="E9" i="74"/>
  <c r="F9" i="74" s="1"/>
  <c r="E14" i="74"/>
  <c r="F14" i="74" s="1"/>
  <c r="E15" i="74"/>
  <c r="F15" i="74" s="1"/>
  <c r="E16" i="74"/>
  <c r="F16" i="74" s="1"/>
  <c r="E17" i="74"/>
  <c r="F17" i="74" s="1"/>
  <c r="E13" i="74"/>
  <c r="F13" i="74" s="1"/>
  <c r="E12" i="74"/>
  <c r="E22" i="73"/>
  <c r="D12" i="73"/>
  <c r="F22" i="73" l="1"/>
  <c r="F43" i="76"/>
  <c r="D89" i="24" l="1"/>
  <c r="D90" i="24"/>
  <c r="D91" i="24"/>
  <c r="D92" i="24"/>
  <c r="D93" i="24"/>
  <c r="D88" i="24"/>
  <c r="D87" i="24"/>
  <c r="E65" i="24"/>
  <c r="F65" i="24"/>
  <c r="G65" i="24"/>
  <c r="H65" i="24"/>
  <c r="I65" i="24"/>
  <c r="J65" i="24"/>
  <c r="K65" i="24"/>
  <c r="L65" i="24"/>
  <c r="D81" i="24"/>
  <c r="L48" i="24" l="1"/>
  <c r="L47" i="24" s="1"/>
  <c r="E18" i="24" l="1"/>
  <c r="E17" i="24" s="1"/>
  <c r="E25" i="24"/>
  <c r="E24" i="24" s="1"/>
  <c r="E39" i="24"/>
  <c r="E38" i="24" s="1"/>
  <c r="E11" i="24"/>
  <c r="E10" i="24" s="1"/>
  <c r="E10" i="76"/>
  <c r="E56" i="76"/>
  <c r="E55" i="76" s="1"/>
  <c r="E63" i="76"/>
  <c r="E62" i="76" s="1"/>
  <c r="E88" i="76"/>
  <c r="E87" i="76" s="1"/>
  <c r="E84" i="76"/>
  <c r="E83" i="76" s="1"/>
  <c r="E81" i="76"/>
  <c r="E80" i="76" s="1"/>
  <c r="E78" i="76"/>
  <c r="E77" i="76" s="1"/>
  <c r="E69" i="76"/>
  <c r="E99" i="76"/>
  <c r="E98" i="76" s="1"/>
  <c r="E54" i="76"/>
  <c r="E53" i="76" s="1"/>
  <c r="E66" i="76"/>
  <c r="E65" i="76" s="1"/>
  <c r="E52" i="76"/>
  <c r="E51" i="76" s="1"/>
  <c r="E101" i="76"/>
  <c r="E100" i="76" s="1"/>
  <c r="E48" i="76"/>
  <c r="E49" i="76"/>
  <c r="E42" i="76"/>
  <c r="E41" i="76" s="1"/>
  <c r="E47" i="76"/>
  <c r="E46" i="76" s="1"/>
  <c r="E58" i="76"/>
  <c r="E57" i="76" s="1"/>
  <c r="E61" i="76"/>
  <c r="E60" i="76" s="1"/>
  <c r="E44" i="76"/>
  <c r="E43" i="76" s="1"/>
  <c r="F37" i="76"/>
  <c r="E38" i="76"/>
  <c r="E37" i="76" s="1"/>
  <c r="E28" i="76"/>
  <c r="F57" i="76" l="1"/>
  <c r="F83" i="76"/>
  <c r="D86" i="76"/>
  <c r="D75" i="76" l="1"/>
  <c r="D40" i="76"/>
  <c r="F62" i="76"/>
  <c r="E9" i="76" l="1"/>
  <c r="F32" i="76"/>
  <c r="E27" i="76"/>
  <c r="C9" i="80" l="1"/>
  <c r="D21" i="76"/>
  <c r="D105" i="76"/>
  <c r="F10" i="24" l="1"/>
  <c r="F9" i="24" s="1"/>
  <c r="D13" i="24"/>
  <c r="D17" i="76" l="1"/>
  <c r="E15" i="76" l="1"/>
  <c r="E8" i="76" s="1"/>
  <c r="F87" i="76"/>
  <c r="F80" i="76"/>
  <c r="F77" i="76"/>
  <c r="E68" i="76"/>
  <c r="E96" i="76"/>
  <c r="E94" i="76"/>
  <c r="E93" i="76"/>
  <c r="E95" i="76"/>
  <c r="F53" i="76"/>
  <c r="F65" i="76"/>
  <c r="F55" i="76"/>
  <c r="F51" i="76"/>
  <c r="F100" i="76"/>
  <c r="F48" i="76"/>
  <c r="F60" i="76"/>
  <c r="E29" i="76" l="1"/>
  <c r="D40" i="24" l="1"/>
  <c r="E14" i="73" l="1"/>
  <c r="G37" i="24"/>
  <c r="F38" i="24"/>
  <c r="D38" i="24" s="1"/>
  <c r="D23" i="76"/>
  <c r="D103" i="76"/>
  <c r="G7" i="74" l="1"/>
  <c r="E7" i="74"/>
  <c r="E8" i="74"/>
  <c r="F8" i="74" s="1"/>
  <c r="F7" i="74" l="1"/>
  <c r="C7" i="71" l="1"/>
  <c r="C28" i="71" s="1"/>
  <c r="F23" i="73" l="1"/>
  <c r="F14" i="73"/>
  <c r="F11" i="73" s="1"/>
  <c r="F46" i="76" l="1"/>
  <c r="E9" i="24" l="1"/>
  <c r="D15" i="76" l="1"/>
  <c r="F41" i="76"/>
  <c r="G9" i="24" l="1"/>
  <c r="D10" i="24"/>
  <c r="G18" i="74" l="1"/>
  <c r="D8" i="73" l="1"/>
  <c r="D104" i="76" l="1"/>
  <c r="D102" i="76"/>
  <c r="F98" i="76"/>
  <c r="D97" i="76"/>
  <c r="D96" i="76"/>
  <c r="D95" i="76"/>
  <c r="D94" i="76"/>
  <c r="D93" i="76"/>
  <c r="D92" i="76"/>
  <c r="D91" i="76"/>
  <c r="D90" i="76"/>
  <c r="D89" i="76"/>
  <c r="D88" i="76"/>
  <c r="D85" i="76"/>
  <c r="D84" i="76"/>
  <c r="D82" i="76"/>
  <c r="D81" i="76"/>
  <c r="D79" i="76"/>
  <c r="D78" i="76"/>
  <c r="D76" i="76"/>
  <c r="D74" i="76"/>
  <c r="D73" i="76"/>
  <c r="F72" i="76"/>
  <c r="D71" i="76"/>
  <c r="D70" i="76"/>
  <c r="D69" i="76"/>
  <c r="E67" i="76"/>
  <c r="D50" i="76"/>
  <c r="D38" i="76"/>
  <c r="D37" i="76"/>
  <c r="D36" i="76"/>
  <c r="D35" i="76"/>
  <c r="D34" i="76"/>
  <c r="D33" i="76"/>
  <c r="D32" i="76"/>
  <c r="D31" i="76"/>
  <c r="D30" i="76"/>
  <c r="D29" i="76"/>
  <c r="D27" i="76"/>
  <c r="D25" i="76"/>
  <c r="D24" i="76"/>
  <c r="D22" i="76"/>
  <c r="D20" i="76"/>
  <c r="D19" i="76"/>
  <c r="F18" i="76"/>
  <c r="D18" i="76" s="1"/>
  <c r="D16" i="76"/>
  <c r="D14" i="76"/>
  <c r="D13" i="76"/>
  <c r="D12" i="76"/>
  <c r="D11" i="76"/>
  <c r="D9" i="76"/>
  <c r="D72" i="76" l="1"/>
  <c r="F67" i="76"/>
  <c r="D67" i="76" s="1"/>
  <c r="D60" i="76"/>
  <c r="D68" i="76"/>
  <c r="D57" i="76"/>
  <c r="D48" i="76"/>
  <c r="D98" i="76"/>
  <c r="D51" i="76"/>
  <c r="D65" i="76"/>
  <c r="F26" i="76"/>
  <c r="D53" i="76"/>
  <c r="D77" i="76"/>
  <c r="D80" i="76"/>
  <c r="D83" i="76"/>
  <c r="D87" i="76"/>
  <c r="D100" i="76"/>
  <c r="D55" i="76"/>
  <c r="D46" i="76"/>
  <c r="D43" i="76"/>
  <c r="D41" i="76"/>
  <c r="D62" i="76"/>
  <c r="E26" i="76"/>
  <c r="E106" i="76" s="1"/>
  <c r="F8" i="76"/>
  <c r="F106" i="76" l="1"/>
  <c r="D26" i="76"/>
  <c r="D8" i="76"/>
  <c r="D106" i="76" l="1"/>
  <c r="D51" i="24" l="1"/>
  <c r="D53" i="24"/>
  <c r="D63" i="24"/>
  <c r="D50" i="24"/>
  <c r="G49" i="24"/>
  <c r="G48" i="24" s="1"/>
  <c r="G47" i="24" s="1"/>
  <c r="D82" i="24"/>
  <c r="D83" i="24"/>
  <c r="D84" i="24"/>
  <c r="D85" i="24"/>
  <c r="D86" i="24"/>
  <c r="D67" i="24"/>
  <c r="D68" i="24"/>
  <c r="D69" i="24"/>
  <c r="D70" i="24"/>
  <c r="D71" i="24"/>
  <c r="D72" i="24"/>
  <c r="D73" i="24"/>
  <c r="D74" i="24"/>
  <c r="D75" i="24"/>
  <c r="D76" i="24"/>
  <c r="D77" i="24"/>
  <c r="D78" i="24"/>
  <c r="D79" i="24"/>
  <c r="D80" i="24"/>
  <c r="D66" i="24"/>
  <c r="D52" i="24"/>
  <c r="D54" i="24"/>
  <c r="D64" i="24"/>
  <c r="D65" i="24" l="1"/>
  <c r="G8" i="24"/>
  <c r="F24" i="24" l="1"/>
  <c r="F17" i="24"/>
  <c r="C9" i="2" l="1"/>
  <c r="C65" i="24" l="1"/>
  <c r="K49" i="24"/>
  <c r="K48" i="24" s="1"/>
  <c r="K47" i="24" s="1"/>
  <c r="J49" i="24"/>
  <c r="J48" i="24" s="1"/>
  <c r="J47" i="24" s="1"/>
  <c r="I49" i="24"/>
  <c r="I48" i="24" s="1"/>
  <c r="I47" i="24" s="1"/>
  <c r="H49" i="24"/>
  <c r="H48" i="24" s="1"/>
  <c r="H47" i="24" s="1"/>
  <c r="F49" i="24"/>
  <c r="F48" i="24" s="1"/>
  <c r="F47" i="24" s="1"/>
  <c r="C49" i="24"/>
  <c r="D46" i="24"/>
  <c r="D45" i="24"/>
  <c r="F43" i="24"/>
  <c r="E43" i="24"/>
  <c r="D42" i="24"/>
  <c r="D41" i="24"/>
  <c r="D36" i="24"/>
  <c r="D35" i="24"/>
  <c r="D34" i="24"/>
  <c r="D33" i="24"/>
  <c r="D32" i="24"/>
  <c r="D31" i="24"/>
  <c r="F30" i="24"/>
  <c r="F29" i="24" s="1"/>
  <c r="E30" i="24"/>
  <c r="D28" i="24"/>
  <c r="D27" i="24"/>
  <c r="D24" i="24"/>
  <c r="F23" i="24"/>
  <c r="D22" i="24"/>
  <c r="D21" i="24"/>
  <c r="D20" i="24"/>
  <c r="F16" i="24"/>
  <c r="D17" i="24"/>
  <c r="E16" i="24"/>
  <c r="D15" i="24"/>
  <c r="D14" i="24"/>
  <c r="D12" i="24"/>
  <c r="C12" i="72"/>
  <c r="C6" i="72"/>
  <c r="D27" i="73"/>
  <c r="C27" i="73" s="1"/>
  <c r="D26" i="73"/>
  <c r="C26" i="73" s="1"/>
  <c r="D25" i="73"/>
  <c r="C25" i="73" s="1"/>
  <c r="D24" i="73"/>
  <c r="C24" i="73" s="1"/>
  <c r="E23" i="73"/>
  <c r="E11" i="73" s="1"/>
  <c r="D22" i="73"/>
  <c r="D21" i="73"/>
  <c r="C21" i="73" s="1"/>
  <c r="D20" i="73"/>
  <c r="C20" i="73" s="1"/>
  <c r="D19" i="73"/>
  <c r="C19" i="73" s="1"/>
  <c r="D18" i="73"/>
  <c r="C18" i="73" s="1"/>
  <c r="D17" i="73"/>
  <c r="C17" i="73" s="1"/>
  <c r="D16" i="73"/>
  <c r="C16" i="73" s="1"/>
  <c r="D15" i="73"/>
  <c r="C15" i="73" s="1"/>
  <c r="D14" i="73"/>
  <c r="C14" i="73" s="1"/>
  <c r="D13" i="73"/>
  <c r="C13" i="73" s="1"/>
  <c r="C12" i="73"/>
  <c r="D10" i="73"/>
  <c r="D9" i="73"/>
  <c r="C9" i="73" s="1"/>
  <c r="F7" i="73"/>
  <c r="G21" i="74"/>
  <c r="C48" i="24" l="1"/>
  <c r="C17" i="72"/>
  <c r="C22" i="73"/>
  <c r="D11" i="73"/>
  <c r="D43" i="24"/>
  <c r="D9" i="24"/>
  <c r="D30" i="24"/>
  <c r="D29" i="24" s="1"/>
  <c r="D23" i="73"/>
  <c r="C23" i="73" s="1"/>
  <c r="D37" i="24"/>
  <c r="J8" i="24"/>
  <c r="L8" i="24"/>
  <c r="F29" i="73"/>
  <c r="D23" i="24"/>
  <c r="F37" i="24"/>
  <c r="I8" i="24"/>
  <c r="C47" i="24"/>
  <c r="D16" i="24"/>
  <c r="E23" i="24"/>
  <c r="E29" i="24"/>
  <c r="E37" i="24"/>
  <c r="C11" i="73" l="1"/>
  <c r="K8" i="24"/>
  <c r="F8" i="24"/>
  <c r="E8" i="9" l="1"/>
  <c r="F8" i="9"/>
  <c r="I8" i="9"/>
  <c r="J8" i="9"/>
  <c r="L9" i="9"/>
  <c r="L10" i="9"/>
  <c r="M10" i="9" s="1"/>
  <c r="L11" i="9"/>
  <c r="M11" i="9" s="1"/>
  <c r="L12" i="9"/>
  <c r="M12" i="9" s="1"/>
  <c r="L13" i="9"/>
  <c r="M13" i="9" s="1"/>
  <c r="L14" i="9"/>
  <c r="M14" i="9" s="1"/>
  <c r="L15" i="9"/>
  <c r="M15" i="9" s="1"/>
  <c r="L16" i="9"/>
  <c r="M16" i="9" s="1"/>
  <c r="L17" i="9"/>
  <c r="M17" i="9" s="1"/>
  <c r="L18" i="9"/>
  <c r="M18" i="9" s="1"/>
  <c r="L19" i="9"/>
  <c r="M19" i="9" s="1"/>
  <c r="L20" i="9"/>
  <c r="M20" i="9" s="1"/>
  <c r="D22" i="9"/>
  <c r="E22" i="9"/>
  <c r="F22" i="9"/>
  <c r="I22" i="9"/>
  <c r="J22" i="9"/>
  <c r="H23" i="9"/>
  <c r="L23" i="9"/>
  <c r="H24" i="9"/>
  <c r="L24" i="9"/>
  <c r="H25" i="9"/>
  <c r="L25" i="9"/>
  <c r="M25" i="9" s="1"/>
  <c r="H26" i="9"/>
  <c r="L26" i="9"/>
  <c r="H27" i="9"/>
  <c r="L27" i="9"/>
  <c r="M27" i="9" s="1"/>
  <c r="H28" i="9"/>
  <c r="L28" i="9"/>
  <c r="H29" i="9"/>
  <c r="L29" i="9"/>
  <c r="M29" i="9" s="1"/>
  <c r="H30" i="9"/>
  <c r="L30" i="9"/>
  <c r="H31" i="9"/>
  <c r="L31" i="9"/>
  <c r="M31" i="9"/>
  <c r="H32" i="9"/>
  <c r="L32" i="9"/>
  <c r="H33" i="9"/>
  <c r="L33" i="9"/>
  <c r="M33" i="9" s="1"/>
  <c r="H34" i="9"/>
  <c r="L34" i="9"/>
  <c r="H35" i="9"/>
  <c r="L35" i="9"/>
  <c r="M35" i="9" s="1"/>
  <c r="H36" i="9"/>
  <c r="L36" i="9"/>
  <c r="H37" i="9"/>
  <c r="L37" i="9"/>
  <c r="M37" i="9" s="1"/>
  <c r="D39" i="9"/>
  <c r="D55" i="9" s="1"/>
  <c r="E39" i="9"/>
  <c r="F39" i="9"/>
  <c r="F55" i="9" s="1"/>
  <c r="I39" i="9"/>
  <c r="J39" i="9"/>
  <c r="H40" i="9"/>
  <c r="L40" i="9"/>
  <c r="H41" i="9"/>
  <c r="L41" i="9"/>
  <c r="H42" i="9"/>
  <c r="L42" i="9"/>
  <c r="H43" i="9"/>
  <c r="L43" i="9"/>
  <c r="H44" i="9"/>
  <c r="L44" i="9"/>
  <c r="M44" i="9" s="1"/>
  <c r="H45" i="9"/>
  <c r="L45" i="9"/>
  <c r="H46" i="9"/>
  <c r="L46" i="9"/>
  <c r="H47" i="9"/>
  <c r="L47" i="9"/>
  <c r="H48" i="9"/>
  <c r="L48" i="9"/>
  <c r="H49" i="9"/>
  <c r="L49" i="9"/>
  <c r="H50" i="9"/>
  <c r="L50" i="9"/>
  <c r="H51" i="9"/>
  <c r="L51" i="9"/>
  <c r="H52" i="9"/>
  <c r="L52" i="9"/>
  <c r="M52" i="9" s="1"/>
  <c r="H53" i="9"/>
  <c r="L53" i="9"/>
  <c r="M23" i="9" l="1"/>
  <c r="E55" i="9"/>
  <c r="M47" i="9"/>
  <c r="M45" i="9"/>
  <c r="M43" i="9"/>
  <c r="M41" i="9"/>
  <c r="J55" i="9"/>
  <c r="M28" i="9"/>
  <c r="I55" i="9"/>
  <c r="M53" i="9"/>
  <c r="M51" i="9"/>
  <c r="M49" i="9"/>
  <c r="M36" i="9"/>
  <c r="M50" i="9"/>
  <c r="M42" i="9"/>
  <c r="H39" i="9"/>
  <c r="M34" i="9"/>
  <c r="M26" i="9"/>
  <c r="M48" i="9"/>
  <c r="L39" i="9"/>
  <c r="M32" i="9"/>
  <c r="L22" i="9"/>
  <c r="H22" i="9"/>
  <c r="M46" i="9"/>
  <c r="M30" i="9"/>
  <c r="L8" i="9"/>
  <c r="M40" i="9"/>
  <c r="M24" i="9"/>
  <c r="M9" i="9"/>
  <c r="M8" i="9" s="1"/>
  <c r="L55" i="9" l="1"/>
  <c r="H55" i="9"/>
  <c r="M22" i="9"/>
  <c r="M39" i="9"/>
  <c r="M55" i="9" s="1"/>
  <c r="E7" i="73"/>
  <c r="E29" i="73" s="1"/>
  <c r="D7" i="73"/>
  <c r="D29" i="73" s="1"/>
  <c r="C8" i="73"/>
  <c r="C7" i="73"/>
  <c r="C29" i="73" s="1"/>
  <c r="D55" i="24"/>
  <c r="D59" i="24"/>
  <c r="D62" i="24"/>
  <c r="E49" i="24"/>
  <c r="D61" i="24"/>
  <c r="D57" i="24"/>
  <c r="D60" i="24"/>
  <c r="D58" i="24"/>
  <c r="D56" i="24"/>
  <c r="E48" i="24" l="1"/>
  <c r="E47" i="24" s="1"/>
  <c r="E8" i="24" s="1"/>
  <c r="D49" i="24"/>
  <c r="D7" i="74"/>
  <c r="E18" i="74"/>
  <c r="E21" i="74" s="1"/>
  <c r="D18" i="74"/>
  <c r="F18" i="74"/>
  <c r="F21" i="74" s="1"/>
  <c r="D48" i="24" l="1"/>
  <c r="D47" i="24" s="1"/>
  <c r="D8" i="24" s="1"/>
  <c r="D21" i="74"/>
</calcChain>
</file>

<file path=xl/sharedStrings.xml><?xml version="1.0" encoding="utf-8"?>
<sst xmlns="http://schemas.openxmlformats.org/spreadsheetml/2006/main" count="520" uniqueCount="401">
  <si>
    <t>STT</t>
  </si>
  <si>
    <t>§¬n vÞ tÝnh : 1000®ång</t>
  </si>
  <si>
    <t>Tæng céng</t>
  </si>
  <si>
    <t>Néi dung</t>
  </si>
  <si>
    <t>I</t>
  </si>
  <si>
    <t>II</t>
  </si>
  <si>
    <t xml:space="preserve">                   - An ninh</t>
  </si>
  <si>
    <t>III</t>
  </si>
  <si>
    <t>Sè tiÒn</t>
  </si>
  <si>
    <t>Đơn vị thực hiện</t>
  </si>
  <si>
    <t>UBND huyÖn §akr«ng</t>
  </si>
  <si>
    <t xml:space="preserve">   Phßng tµi chÝnh - kh</t>
  </si>
  <si>
    <t>B¸o c¸o tæng hîp chªnh lÖch phô cÊp ­u ®·i n¨m 2004</t>
  </si>
  <si>
    <t>Tªn ®¬n vÞ</t>
  </si>
  <si>
    <t>Biªn 
chÕ
 giao</t>
  </si>
  <si>
    <t>Hîp
 ®ång</t>
  </si>
  <si>
    <t>L­¬ng th¸ng 9/2004 ( ch­a phiªn l­¬ng )</t>
  </si>
  <si>
    <t>L­¬ng th¸ng 10/2004 ( theo N§ 204 )</t>
  </si>
  <si>
    <t xml:space="preserve">C/lÖch </t>
  </si>
  <si>
    <t>L­¬ng  CB</t>
  </si>
  <si>
    <t>Phô cÊp</t>
  </si>
  <si>
    <t>HS l­¬ng</t>
  </si>
  <si>
    <t>P/cÊp CV</t>
  </si>
  <si>
    <r>
      <t xml:space="preserve">Møc PC </t>
    </r>
    <r>
      <rPr>
        <b/>
        <sz val="11"/>
        <rFont val=".VnTimeH"/>
        <family val="2"/>
      </rPr>
      <t>­®</t>
    </r>
  </si>
  <si>
    <r>
      <t xml:space="preserve">TiÒn PC </t>
    </r>
    <r>
      <rPr>
        <b/>
        <sz val="11"/>
        <rFont val=".VnTimeH"/>
        <family val="2"/>
      </rPr>
      <t>­®</t>
    </r>
  </si>
  <si>
    <t>1 th¸ng</t>
  </si>
  <si>
    <t>A</t>
  </si>
  <si>
    <t>B</t>
  </si>
  <si>
    <t>Chøc vô</t>
  </si>
  <si>
    <t>Khu vùc</t>
  </si>
  <si>
    <t>8=(5+6)*290*7</t>
  </si>
  <si>
    <t>9= 8 - 4</t>
  </si>
  <si>
    <t>BËc trung häc c¬ së ( 14 - 03 )</t>
  </si>
  <si>
    <t>Tr­êng THCS §akr«ng</t>
  </si>
  <si>
    <t>Tr­êng THCS  Ba Nang</t>
  </si>
  <si>
    <t>Tr­êng THCS  A Vao</t>
  </si>
  <si>
    <t>Tr­êng THCS  A Bung</t>
  </si>
  <si>
    <t>Tr­êng PHCS Kr«ng Klang</t>
  </si>
  <si>
    <t>Tr­êng PTCS  Tµ Long</t>
  </si>
  <si>
    <t>Tr­êng THCS Hóc Ngh×</t>
  </si>
  <si>
    <t>Tr­êng THCS triÖu NguyÖn</t>
  </si>
  <si>
    <t>Tr­êng THCS H­íng HiÖp</t>
  </si>
  <si>
    <t>Tr­êng THCS Tµ Rôt</t>
  </si>
  <si>
    <t>Tr­êng THCS Mß ã</t>
  </si>
  <si>
    <t>Tr­êng THCS Ba Lßng</t>
  </si>
  <si>
    <t>BËc tiÓu häc ( 14 - 02 )</t>
  </si>
  <si>
    <t>Tr­êng TH sè II §akr«ng</t>
  </si>
  <si>
    <t>Tr­êng TH Kr«ng Klang</t>
  </si>
  <si>
    <t>Tr­êng TH Tµ Rôt</t>
  </si>
  <si>
    <t>Tr­êng TH TriÖu Nguyªn</t>
  </si>
  <si>
    <t>Tr­êng TH Tµ Long</t>
  </si>
  <si>
    <t>Tr­êng TH Hóc Ngh×</t>
  </si>
  <si>
    <t>Tr­êng TH H¶i Phóc</t>
  </si>
  <si>
    <t>Tr­êng TH A Ngo</t>
  </si>
  <si>
    <t>Tr­êng TH sè I §akr«ng</t>
  </si>
  <si>
    <t>Tr­êng TH Ba Nang</t>
  </si>
  <si>
    <t>Tr­êng TH   A Vao</t>
  </si>
  <si>
    <t>Tr­êng TH A Bung</t>
  </si>
  <si>
    <t>Tr­êng TH Ba  Lßng</t>
  </si>
  <si>
    <t>Tr­êng TH H­íng HiÖp</t>
  </si>
  <si>
    <t>Tr­êng TH Mß ã</t>
  </si>
  <si>
    <t>Ngµnh häc mÇm non ( 14 - 01 )</t>
  </si>
  <si>
    <t>Tr­êng MN Tµ Long</t>
  </si>
  <si>
    <t>Tr­êng MN A Ngo</t>
  </si>
  <si>
    <t>Tr­êng MN Tµ Rôt</t>
  </si>
  <si>
    <t>Tr­êng MN Ba Nang</t>
  </si>
  <si>
    <t>Tr­êng MN A Bung</t>
  </si>
  <si>
    <t>Tr­êng MN Ba Lßng</t>
  </si>
  <si>
    <t>Tr­êng MN §akr«ng</t>
  </si>
  <si>
    <t>Tr­êng MN Hoa Lan</t>
  </si>
  <si>
    <t>Tr­êng MN H¶i Phóc</t>
  </si>
  <si>
    <t>Tr­êng MN A Vao</t>
  </si>
  <si>
    <t>Tr­êng MN Mß ã</t>
  </si>
  <si>
    <t>Tr­êng MN Hóc Ngh×</t>
  </si>
  <si>
    <t>Tr­êng MN TriÖu Nguyªn</t>
  </si>
  <si>
    <t>Tr­êng MN H­íng HiÖp</t>
  </si>
  <si>
    <t>§akr«ng, ngµy        th¸ng     n¨m 2006</t>
  </si>
  <si>
    <t>Phßng Néi vô</t>
  </si>
  <si>
    <t>Tr­ëng phßng TC - KH</t>
  </si>
  <si>
    <t>IV</t>
  </si>
  <si>
    <t>Nội dung</t>
  </si>
  <si>
    <t>Tổng số</t>
  </si>
  <si>
    <t>Chi con người</t>
  </si>
  <si>
    <t>Chi công việc</t>
  </si>
  <si>
    <t>Cộng</t>
  </si>
  <si>
    <t>Thu trên địa bàn tỉnh giao</t>
  </si>
  <si>
    <t>Thu ngoài quốc doanh</t>
  </si>
  <si>
    <t>Lệ phí trước bạ</t>
  </si>
  <si>
    <t>Thu phí và lệ phí</t>
  </si>
  <si>
    <t>Thu tiền thuê đất</t>
  </si>
  <si>
    <t>Thuế thu nhập cá nhân</t>
  </si>
  <si>
    <t>Thu bổ sung NS cấp trên</t>
  </si>
  <si>
    <t>Thu bổ sung cân đối</t>
  </si>
  <si>
    <t>Thu bổ sung có mục tiêu</t>
  </si>
  <si>
    <t>Trong đó</t>
  </si>
  <si>
    <t>Ngân sách huyện</t>
  </si>
  <si>
    <t>Ngân sách xã</t>
  </si>
  <si>
    <t>ĐVT: 1.000 đồng</t>
  </si>
  <si>
    <t>Dự toán huyện phấn đấu</t>
  </si>
  <si>
    <t>Dự toán tỉnh giao</t>
  </si>
  <si>
    <t>Biểu 01-DT/ĐP</t>
  </si>
  <si>
    <t>Dự toán huyện bố trí</t>
  </si>
  <si>
    <t>Chi đầu tư phát triển</t>
  </si>
  <si>
    <t xml:space="preserve"> - Chi XDCB tập trung theo tiêu chí</t>
  </si>
  <si>
    <t xml:space="preserve"> - Chi đầu tư từ nguồn thu đấu giá đất</t>
  </si>
  <si>
    <t xml:space="preserve"> - Chi trích đo địa chính, cấp GCNQSD đất</t>
  </si>
  <si>
    <t>Chi thường xuyên</t>
  </si>
  <si>
    <t>Chi sự nghiệp kinh tế</t>
  </si>
  <si>
    <t>Chi sự nghiệp môi trường</t>
  </si>
  <si>
    <t>Chi SN Giáo dục-Đào tạo và dạy nghề</t>
  </si>
  <si>
    <t>Trong đó: - Sự nghiệp giáo dục</t>
  </si>
  <si>
    <t>Sự nghiệp văn hóa thông tin</t>
  </si>
  <si>
    <t>Sự nghiệp thể dục thể thao</t>
  </si>
  <si>
    <t>Sự nghiệp phát thanh truyền hình</t>
  </si>
  <si>
    <t>Chi đảm bảo xã hội</t>
  </si>
  <si>
    <t>Chi quản lý hành chính</t>
  </si>
  <si>
    <t>Chi quốc phòng- an ninh</t>
  </si>
  <si>
    <t xml:space="preserve"> Trong đó: - Quốc phòng</t>
  </si>
  <si>
    <t>Chi khác ngân sách</t>
  </si>
  <si>
    <t>Dự phòng ngân sách</t>
  </si>
  <si>
    <t>Chi từ nguồn bổ sung có mục tiêu</t>
  </si>
  <si>
    <t>Công tác thu gom, xử lý rác thải trên địa bàn</t>
  </si>
  <si>
    <t>Hoạt động bảo vệ môi trường</t>
  </si>
  <si>
    <t xml:space="preserve">Kiểm tra vệ sinh môi trường </t>
  </si>
  <si>
    <t>Phòng Tài nguyên và Môi trường</t>
  </si>
  <si>
    <t>Tổ chức ngày môi trường thế giới</t>
  </si>
  <si>
    <t>Kiểm tra khoáng sản</t>
  </si>
  <si>
    <t>Số tiền</t>
  </si>
  <si>
    <t>Ghi chú</t>
  </si>
  <si>
    <t>Công tác sửa chữa, quy hoạch CSHT</t>
  </si>
  <si>
    <t>Tổ chức tết trồng cây</t>
  </si>
  <si>
    <t>Phòng chống thiên tai</t>
  </si>
  <si>
    <t>Tr.đó:-  Hỗ trợ Công tác PCCR</t>
  </si>
  <si>
    <t xml:space="preserve">           - Hoạt động phòng chống thiên tai</t>
  </si>
  <si>
    <t>Hội thi sáng tạo trẻ, tin học trẻ</t>
  </si>
  <si>
    <t>Thực hiện Chỉ thị 40/CT-BCT</t>
  </si>
  <si>
    <t>Phòng Nội vụ huyện</t>
  </si>
  <si>
    <t>Phòng Tài chính- Kế hoạch</t>
  </si>
  <si>
    <t>Phòng NN&amp;PTNT</t>
  </si>
  <si>
    <t>Hạt Kiểm lâm huyện</t>
  </si>
  <si>
    <t>Đoàn Thanh niên</t>
  </si>
  <si>
    <t>Phòng Tài nguyên- MT</t>
  </si>
  <si>
    <t>Đơn vị</t>
  </si>
  <si>
    <t xml:space="preserve">Văn phòng Huyện uỷ </t>
  </si>
  <si>
    <t xml:space="preserve"> - Phụ cấp cấp ủy</t>
  </si>
  <si>
    <t xml:space="preserve"> - Chi hoạt động theo biên chế</t>
  </si>
  <si>
    <t xml:space="preserve"> - Kinh phí Ban CSSK</t>
  </si>
  <si>
    <t xml:space="preserve"> - Chi thăm viếng</t>
  </si>
  <si>
    <t xml:space="preserve"> - Duy tu, bảo dưỡng xe ô tô</t>
  </si>
  <si>
    <t xml:space="preserve"> - Hoạt động cấp ủy</t>
  </si>
  <si>
    <t>Văn phòng HĐND&amp; UBND</t>
  </si>
  <si>
    <t xml:space="preserve"> - Quỹ tiền lương</t>
  </si>
  <si>
    <t xml:space="preserve"> - Chi bồi dưỡng cán bộ tiếp công dân</t>
  </si>
  <si>
    <t xml:space="preserve"> - Chi hoạt động của UBND</t>
  </si>
  <si>
    <t xml:space="preserve"> - Chi hoạt động của HĐND huyện</t>
  </si>
  <si>
    <t xml:space="preserve">Phòng Kinh tế và Hạ tầng </t>
  </si>
  <si>
    <t>Phòng Nông nghiệp và PTNT</t>
  </si>
  <si>
    <t>Thanh tra huyện</t>
  </si>
  <si>
    <t xml:space="preserve"> Phòng Tư pháp huyện</t>
  </si>
  <si>
    <t>Phòng Giáo dục- Đào tạo</t>
  </si>
  <si>
    <t>Phòng Lao động- TBXH huyện</t>
  </si>
  <si>
    <t>Phòng Y tế</t>
  </si>
  <si>
    <t>Phòng Văn hóa-  Thông tin</t>
  </si>
  <si>
    <t>Phòng Dân tộc</t>
  </si>
  <si>
    <t>Uỷ ban Mặt trận TQVN huyện</t>
  </si>
  <si>
    <t xml:space="preserve"> Trong đó: Quỹ tiền lương</t>
  </si>
  <si>
    <t xml:space="preserve"> - Phụ cấp UVUBMT theo QĐ số 33</t>
  </si>
  <si>
    <t xml:space="preserve"> - Chi thăm hỏi theo NQ 01, QĐ 76</t>
  </si>
  <si>
    <t xml:space="preserve"> - Hoạt động TT UBMT</t>
  </si>
  <si>
    <t xml:space="preserve">Đoàn thanh niên </t>
  </si>
  <si>
    <t xml:space="preserve"> - Chi giám sát phản biện xã hội</t>
  </si>
  <si>
    <t xml:space="preserve">Hội Phụ nữ </t>
  </si>
  <si>
    <t xml:space="preserve">Hội Nông dân </t>
  </si>
  <si>
    <t>Hội người mù</t>
  </si>
  <si>
    <t xml:space="preserve">Hội người cao tuổi </t>
  </si>
  <si>
    <t>Hội khuyến học</t>
  </si>
  <si>
    <t>Hội Đông y</t>
  </si>
  <si>
    <t>Hội Thanh niên xung phong</t>
  </si>
  <si>
    <t>Hoạt động các Ban chỉ đạo</t>
  </si>
  <si>
    <t xml:space="preserve">Ghi chú : </t>
  </si>
  <si>
    <t>Ban chỉ huy Quân sự huyện</t>
  </si>
  <si>
    <t>Công an huyện</t>
  </si>
  <si>
    <t>Trong đó NS huyện, xã hưởng</t>
  </si>
  <si>
    <t xml:space="preserve"> - Phụ cấp báo cáo viên theo HD 06</t>
  </si>
  <si>
    <t xml:space="preserve"> - Phụ cấp cộng tác viên dư luận xã hội</t>
  </si>
  <si>
    <t xml:space="preserve">Biên chế giao </t>
  </si>
  <si>
    <t>Tæng sè</t>
  </si>
  <si>
    <t>V</t>
  </si>
  <si>
    <t>VI</t>
  </si>
  <si>
    <t>Sự nghiệp y tế</t>
  </si>
  <si>
    <t>Chi sự nghiệp y tế</t>
  </si>
  <si>
    <t>Trong đó: - Quỹ tiền lương</t>
  </si>
  <si>
    <t xml:space="preserve">                 - Qũy tiền lương các đơn vị bao gồm phụ cấp tự vệ, BCH quân sự cơ quan</t>
  </si>
  <si>
    <t xml:space="preserve">  - Công tác thu gom rác thải ở Mò ó</t>
  </si>
  <si>
    <t>Trung tâm VHTT-TDTT</t>
  </si>
  <si>
    <t>Thuế sử dụng đất phi nông nghiệp</t>
  </si>
  <si>
    <t>UBND xã Mò ó</t>
  </si>
  <si>
    <t>TT</t>
  </si>
  <si>
    <t>Sự nghiệp đào tạo</t>
  </si>
  <si>
    <t xml:space="preserve"> Trung tâm chính trị huyện</t>
  </si>
  <si>
    <t>Sự nghiệp Văn hóa - Thông tin</t>
  </si>
  <si>
    <t>Sự nghiệp Thể dục- Thể thao</t>
  </si>
  <si>
    <t>Sự nghiệp đảm bảo xã hội</t>
  </si>
  <si>
    <t>Phòng Lao động- TB&amp;XH</t>
  </si>
  <si>
    <t>Điều tra hộ nghèo</t>
  </si>
  <si>
    <t>Sự nghiệp PTTH</t>
  </si>
  <si>
    <t xml:space="preserve"> Phòng Nội vụ huyện (Trích lập  quỹ khen thưởng)</t>
  </si>
  <si>
    <t>Chế độ trợ cấp hàng tháng và hoạt  động xã hội</t>
  </si>
  <si>
    <t>Chi 
con người</t>
  </si>
  <si>
    <t>Biên chế giao</t>
  </si>
  <si>
    <t xml:space="preserve"> - Công tác thu gom rác thải xã Ba Lòng</t>
  </si>
  <si>
    <t>Phòng VHTT huyện</t>
  </si>
  <si>
    <t>Trường PTDT Nội trú huyện</t>
  </si>
  <si>
    <t>UBND xã  Ba Lòng</t>
  </si>
  <si>
    <t>Hội Người KT-Nạn nhân da cam/Dioxin và BTXH</t>
  </si>
  <si>
    <t xml:space="preserve">  Trong đó:  Hoạt động tiểu đội thường trực SSCĐ</t>
  </si>
  <si>
    <t>ĐVT: 1000 đồng</t>
  </si>
  <si>
    <t>Phụ lục số 04</t>
  </si>
  <si>
    <t>ĐVT:1.000 đồng</t>
  </si>
  <si>
    <t>Phụ lục số 05</t>
  </si>
  <si>
    <t xml:space="preserve"> - Phụ cấp ban bảo vệ nền tảng của Đảng, đấu tranh
 phản bác các quan điểm sai trái, thù địch</t>
  </si>
  <si>
    <t xml:space="preserve"> - Phụ cấp BCH Quân sự khối UBND huyện</t>
  </si>
  <si>
    <t xml:space="preserve"> - Phụ cấp BCH Quân sự khối Huyện ủy</t>
  </si>
  <si>
    <t xml:space="preserve"> - Phụ cấp kiểm soát thủ tục hành chính</t>
  </si>
  <si>
    <t xml:space="preserve"> - Phụ cấp đại biểu HĐND; phụ cấp các chức danh 
do ĐBHDND bầu</t>
  </si>
  <si>
    <t>Hội CTĐ huyện</t>
  </si>
  <si>
    <t xml:space="preserve">Hỗ trợ kinh phí hoạt động dân số </t>
  </si>
  <si>
    <t>Kinh phí chăm sóc nghĩa trang liệt sỹ</t>
  </si>
  <si>
    <t>Tiền điện hộ nghèo, hộ chính sách xã hội</t>
  </si>
  <si>
    <t>Phòng Dân tộc (Chính sách đối với người có uy tín trong đồng bào DTTS)</t>
  </si>
  <si>
    <t>Hỗ trợ hoạt động Ban quản lý chợ Trung tâm</t>
  </si>
  <si>
    <t xml:space="preserve"> - Công tác thu gom rác thải xã Triệu Nguyên</t>
  </si>
  <si>
    <t>UBND xã Triệu Nguyên</t>
  </si>
  <si>
    <t>VII</t>
  </si>
  <si>
    <t>Phân bổ cho các đơn vị trường học</t>
  </si>
  <si>
    <t>1.1</t>
  </si>
  <si>
    <t>Ngành học Mầm non</t>
  </si>
  <si>
    <t>Trường Mầm non Húc Nghì</t>
  </si>
  <si>
    <t xml:space="preserve">Trường Mầm non Tà Long   </t>
  </si>
  <si>
    <t>Trường Mâm non số I Đakrông</t>
  </si>
  <si>
    <t xml:space="preserve">Trường Mầm non số II Đakrông  </t>
  </si>
  <si>
    <t xml:space="preserve">Trường Mầm non Hoa Lan  </t>
  </si>
  <si>
    <t xml:space="preserve">Trường MN Hướng Hiệp  </t>
  </si>
  <si>
    <t xml:space="preserve">Trường MN Triệu Nguyên  </t>
  </si>
  <si>
    <t xml:space="preserve">Trường Mầm non Ba Lòng  </t>
  </si>
  <si>
    <t>Trường Mầm non A Ngo</t>
  </si>
  <si>
    <t>Trường Mầm non A Bung</t>
  </si>
  <si>
    <t>Trường Mầm non  A Vao</t>
  </si>
  <si>
    <t>Trường Mầm non Pa Nang</t>
  </si>
  <si>
    <t>Trường Mầm non Sơn ca</t>
  </si>
  <si>
    <t>Trường Mầm non Hải Phúc</t>
  </si>
  <si>
    <t xml:space="preserve">Trường Mầm non Tà Rụt   </t>
  </si>
  <si>
    <t>1.2</t>
  </si>
  <si>
    <t>Bậc tiểu học</t>
  </si>
  <si>
    <t>Trường TH&amp;THCS Húc Nghì</t>
  </si>
  <si>
    <t>Trường tiểu học Tà Long</t>
  </si>
  <si>
    <t xml:space="preserve">Trường tiểu học số I Đakrông </t>
  </si>
  <si>
    <t>Trường tiểu học số II Đakrông</t>
  </si>
  <si>
    <t xml:space="preserve">Trường tiểu học số I H/Hiệp </t>
  </si>
  <si>
    <t>Trường tiểu học số II H/Hiệp</t>
  </si>
  <si>
    <t xml:space="preserve">Trường TH&amp;THCS Tr.Nguyên </t>
  </si>
  <si>
    <t>Trường TH&amp;THCS Ba Lòng</t>
  </si>
  <si>
    <t>Trường TH&amp;THCS A Ngo</t>
  </si>
  <si>
    <t xml:space="preserve">Trường TH&amp;THCS A Bung  </t>
  </si>
  <si>
    <t>Trường tiểu học Pa Nang</t>
  </si>
  <si>
    <t>Trường TH&amp;THCS Mò ó</t>
  </si>
  <si>
    <t>Trường tiểu học Tà Rụt</t>
  </si>
  <si>
    <t xml:space="preserve">Trường tiểu học Thị trấn </t>
  </si>
  <si>
    <t>Trường THCS Đakrông</t>
  </si>
  <si>
    <t>Trường THCS Hướng Hiệp</t>
  </si>
  <si>
    <t>Trường PTDBT THCS  Pa Nang</t>
  </si>
  <si>
    <t>Trường THCS Thị trấn</t>
  </si>
  <si>
    <t>Trung tâm GDNN- GDTX</t>
  </si>
  <si>
    <t>Phòng GD &amp; ĐT (Chi hoạt động  chung toàn ngành)</t>
  </si>
  <si>
    <t>Chế độ chính sách cho học sinh</t>
  </si>
  <si>
    <t>TTLT 42</t>
  </si>
  <si>
    <t>NĐ116</t>
  </si>
  <si>
    <t>TTLT 109</t>
  </si>
  <si>
    <t>NĐ 81</t>
  </si>
  <si>
    <t>Phòng LĐ- TB&amp;XH (Mua thẻ BHYT cho
 đối tượng BTXH)</t>
  </si>
  <si>
    <t>Tiết kiệm 10%</t>
  </si>
  <si>
    <t xml:space="preserve"> định mức 40 triệu đồng/ đơn vị, riêng các trường học có 02 cấp học hỗ trợ 80 triệu đồng/ đơn vị </t>
  </si>
  <si>
    <t>trường PTBT- TH&amp;THCS A Vao 40 triệu đồng; TH&amp;THCS Húc Nghì 40 triệu đồng.</t>
  </si>
  <si>
    <t xml:space="preserve">               - Sự nghiệp đào tạo- dạy nghề</t>
  </si>
  <si>
    <t>Trường TH&amp;THCS A Vao</t>
  </si>
  <si>
    <t>Phòng GD &amp; ĐT (Mua sắm thiết bị )</t>
  </si>
  <si>
    <t>Chi khen thưởng chung của huyện (Phòng Nội vụ)</t>
  </si>
  <si>
    <t>Hội Cựu chiến binh</t>
  </si>
  <si>
    <t xml:space="preserve">  - Công tác thu gom rác thải ở Thị trấn, Tà Rụt</t>
  </si>
  <si>
    <t>Phòng Kinh tế và Hạ tầng</t>
  </si>
  <si>
    <t>NĐ 105</t>
  </si>
  <si>
    <t>Duy tri hệ thống đèn tín hiệu</t>
  </si>
  <si>
    <t xml:space="preserve">Sự nghiệp Giáo dục </t>
  </si>
  <si>
    <t xml:space="preserve"> - Chi thực hiện theo quy định 13-QĐ/TU</t>
  </si>
  <si>
    <t>Ban QLDA, PTQĐ và Cụm công nghiệp</t>
  </si>
  <si>
    <t xml:space="preserve"> - Công tác thu gom rác thải xã Hướng Hiệp</t>
  </si>
  <si>
    <t>UBND xã Hướng Hiệp</t>
  </si>
  <si>
    <t xml:space="preserve"> </t>
  </si>
  <si>
    <t>Hội chính trị cách mạng bị tù đày</t>
  </si>
  <si>
    <t>Ban QLDA, Trung tâm quỹ đất và Cụm Công nghiệp</t>
  </si>
  <si>
    <t>Hỗ trợ các hoạt động khuyến công</t>
  </si>
  <si>
    <t>Tiền nước ngọt theo NQ 111/NQ-HĐND</t>
  </si>
  <si>
    <t>Trong đó: Chi đào tạo</t>
  </si>
  <si>
    <t xml:space="preserve">Báo cáo công tác bảo vệ môi trường </t>
  </si>
  <si>
    <t>Thu khác ngân sách</t>
  </si>
  <si>
    <t>Phòng  Kinh tế&amp; Hạ tầng</t>
  </si>
  <si>
    <t>§VT: 1000 ®ång</t>
  </si>
  <si>
    <t>Phòng Tài chính-Kế hoạch</t>
  </si>
  <si>
    <t>Phân bổ sau</t>
  </si>
  <si>
    <t>Tổng cộng</t>
  </si>
  <si>
    <t>Kinh phí phục vụ vận hành hệ thống Tabmis</t>
  </si>
  <si>
    <t>Hỗ trợ kinh phí phục vụ hoạt động thu gom, vận chuyển, xử lý rác thải sinh hoạt, vệ sinh môi trường; điện chiếu sáng; chăm sóc cây xanh</t>
  </si>
  <si>
    <t xml:space="preserve"> Kinh phí hỗ trợ sử dụng sản phẩm, dịch vụ công ích thủy lợi </t>
  </si>
  <si>
    <t>Ban Quản lý Thủy nông</t>
  </si>
  <si>
    <t>Phòng Văn hóa -Thông tin huyện</t>
  </si>
  <si>
    <t>Thực hiện chuyển đổi số</t>
  </si>
  <si>
    <t>Thu tiền bán nhà, thuê nhà thuộc 
sở hữu NN</t>
  </si>
  <si>
    <t>Kinh phí hoạt động đối ngoại</t>
  </si>
  <si>
    <t xml:space="preserve"> - Mua sắm tài sản phòng họp BCH, cơ quan</t>
  </si>
  <si>
    <t>Trung tâm Quản lý chợ, Môi trường và Đô thị huyện</t>
  </si>
  <si>
    <t>Trung tâm Quản lý chợ, Môi trường và Đô Thị huyện</t>
  </si>
  <si>
    <t xml:space="preserve"> - Phụ cấp Ban bảo vệ chính trị nội bộ</t>
  </si>
  <si>
    <t xml:space="preserve"> - Kinh phí theo QĐ 99-QĐ/TW</t>
  </si>
  <si>
    <t>Các khoản phụ cấp thu hút của biên chế chưa tuyển, dự kiến nâng lương</t>
  </si>
  <si>
    <t>Trung tâm GDNN-GDTX</t>
  </si>
  <si>
    <t>Chi khác</t>
  </si>
  <si>
    <t>Lập kế hoạch sử dụng đất năm 2024 (trả nợ)</t>
  </si>
  <si>
    <t>Thống kê đất đai năm 2024</t>
  </si>
  <si>
    <t>Kiểm kê đất đai lập bản lập hiện trạng sử dụng đất</t>
  </si>
  <si>
    <t>Điều chỉnh quy hoạch sử dụng đất đến năm 2030 và kế hoạch sử dụng năm đầu của điều chỉnh quy hoạch</t>
  </si>
  <si>
    <t xml:space="preserve"> - Làm nhà để xe </t>
  </si>
  <si>
    <t>Lập hồ sơ pháp lý di tích theo NQ 167/NQ-HĐND</t>
  </si>
  <si>
    <t xml:space="preserve"> - Quy hoạch chung đô thị Tà Rụt</t>
  </si>
  <si>
    <t xml:space="preserve"> DỰ TOÁN CHI KHÁC NĂM 2025</t>
  </si>
  <si>
    <t>Ngân hàng chính sách xã hội huyện</t>
  </si>
  <si>
    <t>Kinh phí tiền lương và chi khác hợp đồng theo NĐ số 111/2022/NĐ-CP</t>
  </si>
  <si>
    <t>Văn phòng HĐND&amp; UBND huyện</t>
  </si>
  <si>
    <t>Trung tâm VHTT-TDTT huyện</t>
  </si>
  <si>
    <t>Trường PT Dân tộc Nội trú huyện</t>
  </si>
  <si>
    <t>DỰ TOÁN CHI BỔ SUNG CÓ MỤC TIÊU NĂM 2025</t>
  </si>
  <si>
    <t xml:space="preserve"> - Quy hoạch xây dựng vùng huyện ĐaKrông đến năm 2040, định hướng đến năm 2050</t>
  </si>
  <si>
    <t xml:space="preserve"> - Điều chỉnh, bổ sung Quy hoạch chung xây dựng thị trấn Krông Klang, huyện Đakrông đến năm 2035, định hướng đến năm 2040</t>
  </si>
  <si>
    <t>Văn phòng Huyện ủy</t>
  </si>
  <si>
    <t>Chi con
 người</t>
  </si>
  <si>
    <t xml:space="preserve"> - Mua sắm tài sản</t>
  </si>
  <si>
    <t xml:space="preserve">                 - Định mức phân bổ chi hoạt động 15,12 triệu đồng/biên chế (Đã trừ tiết kiệm 10% cải cách lương)</t>
  </si>
  <si>
    <t xml:space="preserve">                 - Chi con người của một số đơn vị do thiếu biên chế đó bố trí trong dự toán theo số lương 2,34 triệu đồng </t>
  </si>
  <si>
    <t>cộng các khoản phụ cấp (trừ phụ cấp thu hút), các khoản đóng góp nhân với mức lương cơ sở 2,34 triệu đồng</t>
  </si>
  <si>
    <t xml:space="preserve"> - Quỹ khen thưởng</t>
  </si>
  <si>
    <t xml:space="preserve">           - In ấn chung của huyện</t>
  </si>
  <si>
    <t xml:space="preserve">          - Mua sắm tài sản</t>
  </si>
  <si>
    <t xml:space="preserve">               - Mua sắm tài sản</t>
  </si>
  <si>
    <t>Trong đó: - Quỹ khen thưởng theo NĐ 73/2024/NĐ-CP</t>
  </si>
  <si>
    <t xml:space="preserve">               - Trang phục thanh tra</t>
  </si>
  <si>
    <t>- Quỹ khen thưởng theo NĐ 73/2024/NĐ-CP</t>
  </si>
  <si>
    <t>Trong đó: - Quỹ khen thưởng theo
 NĐ 73/2024/NĐ-CP</t>
  </si>
  <si>
    <t xml:space="preserve">  - Hoạt động PTTH</t>
  </si>
  <si>
    <t>Chi hoạt động TD-TT</t>
  </si>
  <si>
    <t xml:space="preserve"> - Chi thông tin, tuyên truyền</t>
  </si>
  <si>
    <t>Quỹ khen
 thưởng</t>
  </si>
  <si>
    <t>Trường PTDBT THCS  Tà Long</t>
  </si>
  <si>
    <t>Chi khác chưa phân bổ</t>
  </si>
  <si>
    <t>nhân với mức lương cơ sở 2,34 triệu đồng</t>
  </si>
  <si>
    <t xml:space="preserve">       tỷ lệ đóng góp</t>
  </si>
  <si>
    <t xml:space="preserve">              - Chi con người của chi sự nghiệp SNGD do thiếu biên chế đó bố trí trong dự toán theo số lương 2,34 nhân với  mức lương cơ sở 2,34 triệu đồng,các khoản phụ cấp</t>
  </si>
  <si>
    <t xml:space="preserve">             - Chi con người của chi sự nghiệp VHTT do thiếu biên chế đó bố trí trong dự toán theo số lương 2,34, các khoản phụ cấp (trừ phụ cấp thu hút), các khoản đóng góp </t>
  </si>
  <si>
    <t xml:space="preserve">             - Định mức phân bổ chi hoạt động các đơn vị sự nghiệp 15.120.000đ/biên chế (Đã trừ tiết kiệm 10% cải cách lương)</t>
  </si>
  <si>
    <t xml:space="preserve">      - Định mức chi khác SNGD 20.500.000 đ/người /năm/ số biên chế được cấp có thẩm quyền giao, hỗ trợ cho các đơn vị hoạt động lĩnh vực ngành </t>
  </si>
  <si>
    <t xml:space="preserve">     - Hỗ trợ tiền điện, nước, trực học sinh bán trú các trường: Trường PTBT-THCS Pa Nang 80 triệu đồng, trường PTBT-THCS Tà Long 70 triệu đồng, </t>
  </si>
  <si>
    <t xml:space="preserve">    - Quỹ tiền lương bao gồm dự kiến nâng lương, chế độ thể dục</t>
  </si>
  <si>
    <t>DỰ TOÁN SỰ NGHIỆP VĂN XÃ KHỐI HUYỆN 2025</t>
  </si>
  <si>
    <t>DỰ TOÁN CHI QUẢN LÝ HÀNH CHÍNH KHỐI HUYỆN NĂM 2025</t>
  </si>
  <si>
    <t>DỰ TOÁN CHI QUỐC PHÒNG AN NINH 2025</t>
  </si>
  <si>
    <t xml:space="preserve"> DỰ TOÁN CHI SỰ NGHIỆP KINH TẾ NĂM 2025</t>
  </si>
  <si>
    <t xml:space="preserve"> DỰ TOÁN CHI NGÂN SÁCH HUYỆN NĂM 2025</t>
  </si>
  <si>
    <t>Thu tiền sử dụng đất</t>
  </si>
  <si>
    <t>Phòng LĐ-TB&amp;XH huyện</t>
  </si>
  <si>
    <t>BHYT cho đối tượng BTXH</t>
  </si>
  <si>
    <t>Kinh phí bảo trợ xã hội</t>
  </si>
  <si>
    <t>Kinh phí hiện chính sách an sinh xã hội NSTW hỗ trợ (CS NĐ 116/NĐ-CP; 81/NĐ-CP; TTLT số 42; Tiền điện hộ nghèo)</t>
  </si>
  <si>
    <t>( Kèm theo Báo cáo số           /BC-UBND ngày        /      / 2024 của UBND huyện )</t>
  </si>
  <si>
    <t>( Kèm theo Báo cáo           /BC-UBND ngày        /      / 2024 của UBND huyện )</t>
  </si>
  <si>
    <t xml:space="preserve"> DỰ TOÁN THU NGÂN SÁCH HUYỆN NĂM 2025</t>
  </si>
  <si>
    <t xml:space="preserve"> DỰ TOÁN CHI SỰ NGHIỆP MÔI TRƯỜNG NĂM 2025</t>
  </si>
  <si>
    <t>( Kèm theo Báo cáo số           /BC-UBND ngày        /      / 2024 của UBND  huyện )</t>
  </si>
  <si>
    <t>Ứng dụng công nghệ thông tin phục vụ công tác tài chính- ngân sách</t>
  </si>
  <si>
    <t>Phụ lục 06</t>
  </si>
  <si>
    <t>Hệ thống thoát nước khu dân cư khóm I, khóm II Thị trấn Krông Klang</t>
  </si>
  <si>
    <t>Nâng cấp, mở rộng đường Trần Hưng Đạo, thị trấn Krông Klang</t>
  </si>
  <si>
    <t>Đường Liên xã Đakrông- Mó Ó- Triệu Nguyên- Ba Lòng; Hạng mục: Xử lý ngập lụt đoạn Km 21*200- Km 21+300 và đoạn qua thôn Na Nẫm, xã Triệu Nguyên</t>
  </si>
  <si>
    <t>Sửa chữa đường Lê Lợi, Thị trấn Krông Klang (Hạng mục: Chi phí GPMB)</t>
  </si>
  <si>
    <t>Phòng Văn hóa- Thông tin huyện</t>
  </si>
  <si>
    <t xml:space="preserve"> - Lắp dựng hệ thống Nhà mái tôn phòng họp và Sa bàn Khu trung tâm Sở Chỉ huy diễn tập khu vực phòng thủ</t>
  </si>
  <si>
    <t>Ban Chỉ huy Quân sự huyện</t>
  </si>
  <si>
    <t xml:space="preserve"> Sửa chữa điện chiếu sáng các tuyến đường </t>
  </si>
  <si>
    <r>
      <rPr>
        <b/>
        <sz val="11"/>
        <rFont val="Times New Roman"/>
        <family val="1"/>
      </rPr>
      <t xml:space="preserve">Phụ lục </t>
    </r>
    <r>
      <rPr>
        <b/>
        <sz val="11"/>
        <rFont val=".VnTime"/>
        <family val="2"/>
      </rPr>
      <t>sè 07</t>
    </r>
  </si>
  <si>
    <t>Phụ lục số 01</t>
  </si>
  <si>
    <t xml:space="preserve">              ĐVT: 1000 đồng</t>
  </si>
  <si>
    <t>Phụ lục số  02</t>
  </si>
  <si>
    <t>Phụ lục số 03</t>
  </si>
  <si>
    <t>Biểu số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</si>
</sst>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đ_-;\-* #,##0.00_đ_-;_-* &quot;-&quot;??_đ_-;_-@_-"/>
    <numFmt numFmtId="165" formatCode="#,##0.000"/>
    <numFmt numFmtId="166" formatCode="#,##0.0"/>
    <numFmt numFmtId="167" formatCode="_(* #,##0.00_);_(* \(#,##0.00\);_(* &quot;-&quot;??_);_(@_)"/>
    <numFmt numFmtId="168" formatCode="_(* #,##0_);_(* \(#,##0\);_(* &quot;-&quot;??_);_(@_)"/>
    <numFmt numFmtId="169" formatCode="_-* #,##0_-;\-* #,##0_-;_-* &quot;-&quot;??_-;_-@_-"/>
  </numFmts>
  <fonts count="60">
    <font>
      <sz val="11"/>
      <name val=".VnTime"/>
    </font>
    <font>
      <b/>
      <sz val="12"/>
      <name val="Times New Roman"/>
      <family val="1"/>
    </font>
    <font>
      <sz val="13"/>
      <name val="Times New Roman"/>
      <family val="1"/>
    </font>
    <font>
      <sz val="13"/>
      <name val=".VnTime"/>
      <family val="2"/>
    </font>
    <font>
      <i/>
      <sz val="12"/>
      <name val="Times New Roman"/>
      <family val="1"/>
    </font>
    <font>
      <i/>
      <sz val="12"/>
      <name val=".VnTime"/>
      <family val="2"/>
    </font>
    <font>
      <b/>
      <sz val="11"/>
      <name val=".VnTimeH"/>
      <family val="2"/>
    </font>
    <font>
      <sz val="11"/>
      <color indexed="60"/>
      <name val="Calibri"/>
      <family val="2"/>
    </font>
    <font>
      <b/>
      <sz val="11"/>
      <color indexed="8"/>
      <name val="Calibri"/>
      <family val="2"/>
    </font>
    <font>
      <sz val="11"/>
      <color indexed="8"/>
      <name val="Calibri"/>
      <family val="2"/>
    </font>
    <font>
      <b/>
      <sz val="18"/>
      <color indexed="56"/>
      <name val="Cambria"/>
      <family val="1"/>
    </font>
    <font>
      <sz val="11"/>
      <color indexed="10"/>
      <name val="Calibri"/>
      <family val="2"/>
    </font>
    <font>
      <sz val="11"/>
      <color indexed="52"/>
      <name val="Calibri"/>
      <family val="2"/>
    </font>
    <font>
      <sz val="11"/>
      <color indexed="20"/>
      <name val="Calibri"/>
      <family val="2"/>
    </font>
    <font>
      <sz val="11"/>
      <color indexed="9"/>
      <name val="Calibri"/>
      <family val="2"/>
    </font>
    <font>
      <i/>
      <sz val="11"/>
      <color indexed="23"/>
      <name val="Calibri"/>
      <family val="2"/>
    </font>
    <font>
      <b/>
      <sz val="11"/>
      <color indexed="52"/>
      <name val="Calibri"/>
      <family val="2"/>
    </font>
    <font>
      <sz val="11"/>
      <color indexed="17"/>
      <name val="Calibri"/>
      <family val="2"/>
    </font>
    <font>
      <b/>
      <sz val="11"/>
      <color indexed="63"/>
      <name val="Calibri"/>
      <family val="2"/>
    </font>
    <font>
      <b/>
      <sz val="15"/>
      <color indexed="56"/>
      <name val="Calibri"/>
      <family val="2"/>
    </font>
    <font>
      <b/>
      <sz val="11"/>
      <color indexed="9"/>
      <name val="Calibri"/>
      <family val="2"/>
    </font>
    <font>
      <b/>
      <sz val="13"/>
      <color indexed="56"/>
      <name val="Calibri"/>
      <family val="2"/>
    </font>
    <font>
      <b/>
      <sz val="11"/>
      <color indexed="56"/>
      <name val="Calibri"/>
      <family val="2"/>
    </font>
    <font>
      <sz val="11"/>
      <color indexed="62"/>
      <name val="Calibri"/>
      <family val="2"/>
    </font>
    <font>
      <b/>
      <sz val="11"/>
      <name val=".VnTime"/>
      <family val="2"/>
    </font>
    <font>
      <sz val="12"/>
      <name val=".VnTime"/>
      <family val="2"/>
    </font>
    <font>
      <b/>
      <sz val="12"/>
      <name val=".VnTime"/>
      <family val="2"/>
    </font>
    <font>
      <i/>
      <sz val="14"/>
      <name val=".VnTime"/>
      <family val="2"/>
    </font>
    <font>
      <i/>
      <sz val="11"/>
      <name val=".VnTime"/>
      <family val="2"/>
    </font>
    <font>
      <b/>
      <sz val="14"/>
      <name val=".VnTime"/>
      <family val="2"/>
    </font>
    <font>
      <sz val="10"/>
      <name val=".VnTime"/>
      <family val="2"/>
    </font>
    <font>
      <b/>
      <sz val="12"/>
      <name val=".VnTimeH"/>
      <family val="2"/>
    </font>
    <font>
      <sz val="12"/>
      <name val=".VnTimeH"/>
      <family val="2"/>
    </font>
    <font>
      <b/>
      <sz val="14"/>
      <name val=".VnTimeH"/>
      <family val="2"/>
    </font>
    <font>
      <b/>
      <i/>
      <sz val="12"/>
      <name val=".VnTime"/>
      <family val="2"/>
    </font>
    <font>
      <sz val="11"/>
      <name val=".VnTime"/>
      <family val="2"/>
    </font>
    <font>
      <sz val="11"/>
      <name val="Times New Roman"/>
      <family val="1"/>
    </font>
    <font>
      <sz val="12"/>
      <name val="Times New Roman"/>
      <family val="1"/>
    </font>
    <font>
      <b/>
      <sz val="11"/>
      <name val="Times New Roman"/>
      <family val="1"/>
    </font>
    <font>
      <b/>
      <sz val="14"/>
      <name val="Times New Roman"/>
      <family val="1"/>
    </font>
    <font>
      <b/>
      <i/>
      <sz val="12"/>
      <name val="Times New Roman"/>
      <family val="1"/>
    </font>
    <font>
      <b/>
      <sz val="13"/>
      <name val="Times New Roman"/>
      <family val="1"/>
    </font>
    <font>
      <sz val="11"/>
      <color rgb="FFFF0000"/>
      <name val=".VnTime"/>
      <family val="2"/>
    </font>
    <font>
      <sz val="11"/>
      <color rgb="FFFF0000"/>
      <name val="Times New Roman"/>
      <family val="1"/>
    </font>
    <font>
      <i/>
      <sz val="13"/>
      <name val="Times New Roman"/>
      <family val="1"/>
    </font>
    <font>
      <sz val="14"/>
      <name val="Times New Roman"/>
      <family val="1"/>
    </font>
    <font>
      <i/>
      <sz val="10"/>
      <name val="Times New Roman"/>
      <family val="1"/>
    </font>
    <font>
      <i/>
      <sz val="11"/>
      <name val="Times New Roman"/>
      <family val="1"/>
    </font>
    <font>
      <sz val="12"/>
      <name val="VNtimes new roman"/>
      <family val="2"/>
    </font>
    <font>
      <b/>
      <sz val="11"/>
      <color rgb="FFFF0000"/>
      <name val="Times New Roman"/>
      <family val="1"/>
    </font>
    <font>
      <b/>
      <sz val="11"/>
      <color rgb="FFFF0000"/>
      <name val=".VnTime"/>
      <family val="2"/>
    </font>
    <font>
      <i/>
      <sz val="11"/>
      <color rgb="FFFF0000"/>
      <name val=".VnTime"/>
      <family val="2"/>
    </font>
    <font>
      <b/>
      <i/>
      <sz val="11"/>
      <color rgb="FFFF0000"/>
      <name val=".VnTime"/>
      <family val="2"/>
    </font>
    <font>
      <sz val="14"/>
      <color rgb="FFFF0000"/>
      <name val="Times New Roman"/>
      <family val="1"/>
    </font>
    <font>
      <sz val="11"/>
      <name val=".VnTime"/>
      <family val="2"/>
    </font>
    <font>
      <sz val="12"/>
      <color theme="1"/>
      <name val="Times New Roman"/>
      <family val="1"/>
    </font>
    <font>
      <b/>
      <sz val="12"/>
      <color theme="1"/>
      <name val="Times New Roman"/>
      <family val="1"/>
    </font>
    <font>
      <sz val="10.5"/>
      <name val="Times New Roman"/>
      <family val="1"/>
    </font>
    <font>
      <sz val="13"/>
      <color rgb="FFFF0000"/>
      <name val="Times New Roman"/>
      <family val="1"/>
    </font>
    <font>
      <sz val="12"/>
      <color rgb="FFFF0000"/>
      <name val="Times New Roman"/>
      <family val="1"/>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3" fillId="3" borderId="0" applyNumberFormat="0" applyBorder="0" applyAlignment="0" applyProtection="0"/>
    <xf numFmtId="0" fontId="16" fillId="20" borderId="1" applyNumberFormat="0" applyAlignment="0" applyProtection="0"/>
    <xf numFmtId="0" fontId="20" fillId="21" borderId="2" applyNumberFormat="0" applyAlignment="0" applyProtection="0"/>
    <xf numFmtId="0" fontId="15" fillId="0" borderId="0" applyNumberFormat="0" applyFill="0" applyBorder="0" applyAlignment="0" applyProtection="0"/>
    <xf numFmtId="0" fontId="17" fillId="4" borderId="0" applyNumberFormat="0" applyBorder="0" applyAlignment="0" applyProtection="0"/>
    <xf numFmtId="0" fontId="19"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12" fillId="0" borderId="6" applyNumberFormat="0" applyFill="0" applyAlignment="0" applyProtection="0"/>
    <xf numFmtId="0" fontId="7" fillId="22" borderId="0" applyNumberFormat="0" applyBorder="0" applyAlignment="0" applyProtection="0"/>
    <xf numFmtId="0" fontId="35" fillId="0" borderId="0"/>
    <xf numFmtId="0" fontId="35" fillId="23" borderId="7" applyNumberFormat="0" applyFont="0" applyAlignment="0" applyProtection="0"/>
    <xf numFmtId="0" fontId="18" fillId="20" borderId="8" applyNumberFormat="0" applyAlignment="0" applyProtection="0"/>
    <xf numFmtId="0" fontId="10" fillId="0" borderId="0" applyNumberFormat="0" applyFill="0" applyBorder="0" applyAlignment="0" applyProtection="0"/>
    <xf numFmtId="0" fontId="8" fillId="0" borderId="9" applyNumberFormat="0" applyFill="0" applyAlignment="0" applyProtection="0"/>
    <xf numFmtId="0" fontId="11" fillId="0" borderId="0" applyNumberFormat="0" applyFill="0" applyBorder="0" applyAlignment="0" applyProtection="0"/>
    <xf numFmtId="0" fontId="25" fillId="0" borderId="0"/>
    <xf numFmtId="0" fontId="35" fillId="0" borderId="0"/>
    <xf numFmtId="167" fontId="9" fillId="0" borderId="0" applyFont="0" applyFill="0" applyBorder="0" applyAlignment="0" applyProtection="0"/>
    <xf numFmtId="0" fontId="48" fillId="0" borderId="0"/>
    <xf numFmtId="164" fontId="54" fillId="0" borderId="0" applyFont="0" applyFill="0" applyBorder="0" applyAlignment="0" applyProtection="0"/>
  </cellStyleXfs>
  <cellXfs count="393">
    <xf numFmtId="0" fontId="0" fillId="0" borderId="0" xfId="0"/>
    <xf numFmtId="0" fontId="24" fillId="0" borderId="10" xfId="0" applyFont="1" applyBorder="1" applyAlignment="1">
      <alignment horizontal="center"/>
    </xf>
    <xf numFmtId="0" fontId="24" fillId="0" borderId="11" xfId="0" applyFont="1" applyBorder="1" applyAlignment="1">
      <alignment horizontal="center"/>
    </xf>
    <xf numFmtId="0" fontId="26" fillId="0" borderId="12" xfId="0" applyFont="1" applyBorder="1" applyAlignment="1">
      <alignment horizontal="center"/>
    </xf>
    <xf numFmtId="0" fontId="25" fillId="0" borderId="13" xfId="0" applyFont="1" applyBorder="1" applyAlignment="1">
      <alignment horizontal="center"/>
    </xf>
    <xf numFmtId="0" fontId="25" fillId="0" borderId="13" xfId="0" applyFont="1" applyBorder="1"/>
    <xf numFmtId="3" fontId="25" fillId="0" borderId="13" xfId="0" applyNumberFormat="1" applyFont="1" applyBorder="1"/>
    <xf numFmtId="0" fontId="26" fillId="0" borderId="10" xfId="0" applyFont="1" applyBorder="1" applyAlignment="1">
      <alignment horizontal="center"/>
    </xf>
    <xf numFmtId="0" fontId="26" fillId="0" borderId="11" xfId="0" applyFont="1" applyBorder="1" applyAlignment="1">
      <alignment horizontal="center"/>
    </xf>
    <xf numFmtId="0" fontId="26" fillId="0" borderId="13" xfId="0" applyFont="1" applyBorder="1"/>
    <xf numFmtId="0" fontId="26" fillId="0" borderId="13" xfId="0" applyFont="1" applyBorder="1" applyAlignment="1">
      <alignment horizontal="center"/>
    </xf>
    <xf numFmtId="0" fontId="26" fillId="0" borderId="14" xfId="0" applyFont="1" applyBorder="1" applyAlignment="1">
      <alignment horizontal="center"/>
    </xf>
    <xf numFmtId="3" fontId="26" fillId="0" borderId="13" xfId="0" applyNumberFormat="1" applyFont="1" applyBorder="1" applyAlignment="1">
      <alignment horizontal="right"/>
    </xf>
    <xf numFmtId="0" fontId="27" fillId="0" borderId="0" xfId="0" applyFont="1" applyBorder="1" applyAlignment="1">
      <alignment horizontal="center"/>
    </xf>
    <xf numFmtId="0" fontId="0" fillId="0" borderId="0" xfId="0" applyBorder="1"/>
    <xf numFmtId="0" fontId="26" fillId="0" borderId="0" xfId="0" applyFont="1" applyBorder="1" applyAlignment="1">
      <alignment horizontal="center"/>
    </xf>
    <xf numFmtId="3" fontId="26" fillId="0" borderId="0" xfId="0" applyNumberFormat="1" applyFont="1" applyBorder="1"/>
    <xf numFmtId="0" fontId="29" fillId="0" borderId="0" xfId="0" applyFont="1" applyBorder="1" applyAlignment="1">
      <alignment horizontal="center"/>
    </xf>
    <xf numFmtId="3" fontId="26" fillId="0" borderId="15" xfId="0" applyNumberFormat="1" applyFont="1" applyBorder="1" applyAlignment="1">
      <alignment horizontal="center"/>
    </xf>
    <xf numFmtId="0" fontId="26" fillId="0" borderId="15" xfId="0" applyFont="1" applyBorder="1" applyAlignment="1">
      <alignment horizontal="center"/>
    </xf>
    <xf numFmtId="0" fontId="24" fillId="0" borderId="15" xfId="0" applyFont="1" applyBorder="1" applyAlignment="1">
      <alignment horizontal="center"/>
    </xf>
    <xf numFmtId="0" fontId="25" fillId="0" borderId="15" xfId="0" applyFont="1" applyBorder="1" applyAlignment="1">
      <alignment horizontal="center"/>
    </xf>
    <xf numFmtId="3" fontId="25" fillId="0" borderId="15" xfId="0" applyNumberFormat="1" applyFont="1" applyBorder="1" applyAlignment="1">
      <alignment horizontal="center"/>
    </xf>
    <xf numFmtId="0" fontId="0" fillId="0" borderId="15" xfId="0" applyBorder="1" applyAlignment="1">
      <alignment horizontal="center"/>
    </xf>
    <xf numFmtId="0" fontId="30" fillId="0" borderId="15" xfId="0" applyFont="1" applyBorder="1" applyAlignment="1">
      <alignment horizontal="center"/>
    </xf>
    <xf numFmtId="3" fontId="26" fillId="0" borderId="12" xfId="0" applyNumberFormat="1" applyFont="1" applyBorder="1" applyAlignment="1">
      <alignment horizontal="right"/>
    </xf>
    <xf numFmtId="0" fontId="31" fillId="0" borderId="0" xfId="0" applyFont="1" applyBorder="1" applyAlignment="1">
      <alignment horizontal="left"/>
    </xf>
    <xf numFmtId="0" fontId="6" fillId="0" borderId="0" xfId="0" applyFont="1" applyBorder="1" applyAlignment="1">
      <alignment horizontal="left"/>
    </xf>
    <xf numFmtId="0" fontId="26" fillId="0" borderId="0" xfId="0" applyFont="1" applyBorder="1" applyAlignment="1">
      <alignment horizontal="left"/>
    </xf>
    <xf numFmtId="4" fontId="25" fillId="0" borderId="13" xfId="0" applyNumberFormat="1" applyFont="1" applyBorder="1"/>
    <xf numFmtId="0" fontId="0" fillId="0" borderId="16" xfId="0" applyBorder="1"/>
    <xf numFmtId="0" fontId="25" fillId="0" borderId="13" xfId="0" applyFont="1" applyBorder="1" applyAlignment="1">
      <alignment horizontal="left"/>
    </xf>
    <xf numFmtId="0" fontId="24" fillId="0" borderId="16" xfId="0" applyFont="1" applyBorder="1"/>
    <xf numFmtId="0" fontId="24" fillId="0" borderId="0" xfId="0" applyFont="1"/>
    <xf numFmtId="0" fontId="26" fillId="0" borderId="12" xfId="0" applyFont="1" applyBorder="1"/>
    <xf numFmtId="1" fontId="26" fillId="0" borderId="12" xfId="0" applyNumberFormat="1" applyFont="1" applyBorder="1" applyAlignment="1">
      <alignment horizontal="right"/>
    </xf>
    <xf numFmtId="9" fontId="26" fillId="0" borderId="12" xfId="0" applyNumberFormat="1" applyFont="1" applyBorder="1" applyAlignment="1">
      <alignment horizontal="center"/>
    </xf>
    <xf numFmtId="4" fontId="25" fillId="0" borderId="13" xfId="0" applyNumberFormat="1" applyFont="1" applyBorder="1" applyAlignment="1">
      <alignment horizontal="center"/>
    </xf>
    <xf numFmtId="0" fontId="26" fillId="0" borderId="0" xfId="0" applyFont="1"/>
    <xf numFmtId="9" fontId="26" fillId="0" borderId="13" xfId="0" applyNumberFormat="1" applyFont="1" applyBorder="1" applyAlignment="1">
      <alignment horizontal="center"/>
    </xf>
    <xf numFmtId="9" fontId="25" fillId="0" borderId="13" xfId="0" applyNumberFormat="1" applyFont="1" applyBorder="1" applyAlignment="1">
      <alignment horizontal="center"/>
    </xf>
    <xf numFmtId="0" fontId="26" fillId="0" borderId="16" xfId="0" applyFont="1" applyBorder="1"/>
    <xf numFmtId="2" fontId="25" fillId="0" borderId="13" xfId="0" applyNumberFormat="1" applyFont="1" applyBorder="1" applyAlignment="1">
      <alignment horizontal="center"/>
    </xf>
    <xf numFmtId="0" fontId="25" fillId="0" borderId="16" xfId="0" applyFont="1" applyBorder="1"/>
    <xf numFmtId="0" fontId="25" fillId="0" borderId="0" xfId="0" applyFont="1"/>
    <xf numFmtId="0" fontId="32" fillId="0" borderId="13" xfId="0" applyFont="1" applyBorder="1" applyAlignment="1">
      <alignment horizontal="center"/>
    </xf>
    <xf numFmtId="3" fontId="26" fillId="0" borderId="14" xfId="0" applyNumberFormat="1" applyFont="1" applyBorder="1" applyAlignment="1">
      <alignment horizontal="right"/>
    </xf>
    <xf numFmtId="0" fontId="35" fillId="0" borderId="0" xfId="0" applyFont="1"/>
    <xf numFmtId="0" fontId="35" fillId="0" borderId="0" xfId="37" applyFont="1"/>
    <xf numFmtId="0" fontId="36" fillId="0" borderId="0" xfId="0" applyFont="1"/>
    <xf numFmtId="0" fontId="36" fillId="0" borderId="15" xfId="0" applyFont="1" applyBorder="1"/>
    <xf numFmtId="3" fontId="36" fillId="0" borderId="0" xfId="0" applyNumberFormat="1" applyFont="1"/>
    <xf numFmtId="3" fontId="2" fillId="0" borderId="16" xfId="0" applyNumberFormat="1" applyFont="1" applyFill="1" applyBorder="1"/>
    <xf numFmtId="0" fontId="38" fillId="0" borderId="0" xfId="0" applyFont="1"/>
    <xf numFmtId="3" fontId="3" fillId="0" borderId="0" xfId="0" applyNumberFormat="1" applyFont="1" applyFill="1" applyBorder="1"/>
    <xf numFmtId="3" fontId="38" fillId="0" borderId="0" xfId="0" applyNumberFormat="1" applyFont="1"/>
    <xf numFmtId="0" fontId="4" fillId="0" borderId="0" xfId="0" applyFont="1" applyAlignment="1"/>
    <xf numFmtId="0" fontId="4" fillId="0" borderId="0" xfId="0" applyFont="1" applyAlignment="1">
      <alignment horizontal="right"/>
    </xf>
    <xf numFmtId="0" fontId="35" fillId="0" borderId="0" xfId="0" applyFont="1" applyAlignment="1"/>
    <xf numFmtId="0" fontId="36" fillId="0" borderId="0" xfId="0" applyFont="1" applyAlignment="1">
      <alignment vertical="center"/>
    </xf>
    <xf numFmtId="0" fontId="37" fillId="0" borderId="15" xfId="0" applyFont="1" applyBorder="1" applyAlignment="1">
      <alignment horizontal="center"/>
    </xf>
    <xf numFmtId="0" fontId="36" fillId="0" borderId="0" xfId="0" applyFont="1" applyAlignment="1">
      <alignment horizontal="center" vertical="center"/>
    </xf>
    <xf numFmtId="0" fontId="38" fillId="0" borderId="0" xfId="0" applyFont="1" applyAlignment="1">
      <alignment horizontal="center" vertical="center"/>
    </xf>
    <xf numFmtId="0" fontId="41" fillId="0" borderId="15" xfId="0" applyFont="1" applyBorder="1" applyAlignment="1">
      <alignment horizontal="center" vertical="center"/>
    </xf>
    <xf numFmtId="0" fontId="2" fillId="0" borderId="15" xfId="0" applyFont="1" applyBorder="1" applyAlignment="1">
      <alignment horizontal="center" vertical="center"/>
    </xf>
    <xf numFmtId="0" fontId="41" fillId="0" borderId="15" xfId="0" applyFont="1" applyBorder="1" applyAlignment="1">
      <alignment vertical="center"/>
    </xf>
    <xf numFmtId="0" fontId="24" fillId="0" borderId="0" xfId="37" applyFont="1"/>
    <xf numFmtId="0" fontId="36" fillId="0" borderId="0" xfId="0" applyFont="1" applyFill="1" applyBorder="1"/>
    <xf numFmtId="3" fontId="35" fillId="0" borderId="0" xfId="0" applyNumberFormat="1" applyFont="1"/>
    <xf numFmtId="0" fontId="1" fillId="0" borderId="15" xfId="0" applyFont="1" applyBorder="1" applyAlignment="1">
      <alignment horizontal="left" vertical="center" wrapText="1"/>
    </xf>
    <xf numFmtId="0" fontId="37" fillId="0" borderId="15" xfId="0" applyFont="1" applyBorder="1" applyAlignment="1">
      <alignment vertical="center" wrapText="1"/>
    </xf>
    <xf numFmtId="3" fontId="37" fillId="0" borderId="15" xfId="0" applyNumberFormat="1" applyFont="1" applyBorder="1" applyAlignment="1">
      <alignment vertical="center" wrapText="1"/>
    </xf>
    <xf numFmtId="0" fontId="25" fillId="0" borderId="0" xfId="0" applyFont="1" applyAlignment="1"/>
    <xf numFmtId="3" fontId="38" fillId="0" borderId="15" xfId="0" applyNumberFormat="1" applyFont="1" applyBorder="1"/>
    <xf numFmtId="0" fontId="36" fillId="0" borderId="15" xfId="0" applyFont="1" applyBorder="1" applyAlignment="1">
      <alignment horizontal="center"/>
    </xf>
    <xf numFmtId="3" fontId="36" fillId="0" borderId="15" xfId="0" applyNumberFormat="1" applyFont="1" applyBorder="1"/>
    <xf numFmtId="0" fontId="43" fillId="0" borderId="0" xfId="0" applyFont="1"/>
    <xf numFmtId="0" fontId="34" fillId="0" borderId="0" xfId="0" applyFont="1" applyAlignment="1"/>
    <xf numFmtId="3" fontId="25" fillId="0" borderId="0" xfId="0" applyNumberFormat="1" applyFont="1" applyAlignment="1"/>
    <xf numFmtId="0" fontId="36" fillId="0" borderId="0" xfId="0" applyFont="1" applyAlignment="1">
      <alignment wrapText="1"/>
    </xf>
    <xf numFmtId="0" fontId="36" fillId="0" borderId="0" xfId="0" applyFont="1" applyAlignment="1"/>
    <xf numFmtId="0" fontId="43" fillId="0" borderId="0" xfId="0" applyFont="1" applyAlignment="1">
      <alignment horizontal="center" vertical="center"/>
    </xf>
    <xf numFmtId="0" fontId="38" fillId="0" borderId="0" xfId="0" applyFont="1" applyBorder="1"/>
    <xf numFmtId="3" fontId="38" fillId="0" borderId="0" xfId="0" applyNumberFormat="1" applyFont="1" applyBorder="1"/>
    <xf numFmtId="0" fontId="36" fillId="0" borderId="0" xfId="0" applyFont="1" applyBorder="1"/>
    <xf numFmtId="3" fontId="36" fillId="0" borderId="0" xfId="0" applyNumberFormat="1" applyFont="1" applyBorder="1"/>
    <xf numFmtId="3" fontId="36" fillId="0" borderId="16" xfId="0" applyNumberFormat="1" applyFont="1" applyBorder="1"/>
    <xf numFmtId="165" fontId="36" fillId="0" borderId="0" xfId="0" applyNumberFormat="1" applyFont="1" applyBorder="1"/>
    <xf numFmtId="3" fontId="36" fillId="0" borderId="22" xfId="37" applyNumberFormat="1" applyFont="1" applyFill="1" applyBorder="1" applyAlignment="1">
      <alignment vertical="center" wrapText="1"/>
    </xf>
    <xf numFmtId="0" fontId="1" fillId="0" borderId="0" xfId="0" applyFont="1" applyBorder="1"/>
    <xf numFmtId="0" fontId="1" fillId="0" borderId="22" xfId="0" applyFont="1" applyBorder="1" applyAlignment="1">
      <alignment horizontal="center"/>
    </xf>
    <xf numFmtId="3" fontId="1" fillId="0" borderId="22" xfId="0" applyNumberFormat="1" applyFont="1" applyBorder="1"/>
    <xf numFmtId="0" fontId="1" fillId="0" borderId="0" xfId="0" applyFont="1" applyBorder="1" applyAlignment="1">
      <alignment horizontal="center"/>
    </xf>
    <xf numFmtId="3" fontId="1" fillId="0" borderId="0" xfId="0" applyNumberFormat="1" applyFont="1" applyBorder="1"/>
    <xf numFmtId="0" fontId="38" fillId="0" borderId="0" xfId="0" applyFont="1" applyAlignment="1">
      <alignment horizontal="right"/>
    </xf>
    <xf numFmtId="0" fontId="35" fillId="0" borderId="0" xfId="0" applyFont="1" applyBorder="1"/>
    <xf numFmtId="3" fontId="35" fillId="0" borderId="0" xfId="0" applyNumberFormat="1" applyFont="1" applyBorder="1"/>
    <xf numFmtId="0" fontId="41" fillId="0" borderId="10" xfId="0" applyFont="1" applyBorder="1" applyAlignment="1">
      <alignment horizontal="center"/>
    </xf>
    <xf numFmtId="3" fontId="41" fillId="0" borderId="15" xfId="0" applyNumberFormat="1" applyFont="1" applyBorder="1" applyAlignment="1">
      <alignment vertical="center"/>
    </xf>
    <xf numFmtId="0" fontId="44" fillId="0" borderId="15" xfId="0" applyFont="1" applyBorder="1" applyAlignment="1">
      <alignment vertical="center"/>
    </xf>
    <xf numFmtId="3" fontId="44" fillId="0" borderId="15" xfId="0" applyNumberFormat="1" applyFont="1" applyBorder="1" applyAlignment="1">
      <alignment vertical="center"/>
    </xf>
    <xf numFmtId="37" fontId="36" fillId="0" borderId="0" xfId="0" applyNumberFormat="1" applyFont="1" applyAlignment="1">
      <alignment horizontal="center" vertical="center"/>
    </xf>
    <xf numFmtId="0" fontId="24" fillId="0" borderId="0" xfId="0" applyFont="1" applyBorder="1"/>
    <xf numFmtId="3" fontId="45" fillId="0" borderId="0" xfId="0" applyNumberFormat="1" applyFont="1" applyBorder="1"/>
    <xf numFmtId="0" fontId="45" fillId="0" borderId="0" xfId="0" applyFont="1" applyBorder="1" applyAlignment="1">
      <alignment horizontal="left" vertical="center"/>
    </xf>
    <xf numFmtId="0" fontId="28" fillId="0" borderId="0" xfId="0" applyFont="1"/>
    <xf numFmtId="0" fontId="28" fillId="0" borderId="0" xfId="0" applyFont="1" applyBorder="1"/>
    <xf numFmtId="0" fontId="37" fillId="0" borderId="15" xfId="0" applyFont="1" applyBorder="1" applyAlignment="1">
      <alignment wrapText="1"/>
    </xf>
    <xf numFmtId="3" fontId="37" fillId="0" borderId="15" xfId="0" applyNumberFormat="1" applyFont="1" applyBorder="1"/>
    <xf numFmtId="0" fontId="37" fillId="0" borderId="15" xfId="0" applyFont="1" applyBorder="1"/>
    <xf numFmtId="0" fontId="1" fillId="0" borderId="15" xfId="0" applyFont="1" applyBorder="1" applyAlignment="1">
      <alignment horizontal="center"/>
    </xf>
    <xf numFmtId="0" fontId="1" fillId="0" borderId="15" xfId="0" applyFont="1" applyBorder="1"/>
    <xf numFmtId="3" fontId="1" fillId="0" borderId="15" xfId="0" applyNumberFormat="1" applyFont="1" applyBorder="1"/>
    <xf numFmtId="0" fontId="35" fillId="24" borderId="0" xfId="0" applyFont="1" applyFill="1"/>
    <xf numFmtId="0" fontId="35" fillId="24" borderId="0" xfId="0" applyFont="1" applyFill="1" applyAlignment="1"/>
    <xf numFmtId="0" fontId="36" fillId="24" borderId="0" xfId="0" applyFont="1" applyFill="1" applyAlignment="1"/>
    <xf numFmtId="0" fontId="36" fillId="24" borderId="0" xfId="0" applyFont="1" applyFill="1"/>
    <xf numFmtId="3" fontId="24" fillId="0" borderId="0" xfId="0" applyNumberFormat="1" applyFont="1" applyBorder="1"/>
    <xf numFmtId="3" fontId="40" fillId="0" borderId="15" xfId="0" applyNumberFormat="1" applyFont="1" applyBorder="1"/>
    <xf numFmtId="0" fontId="38" fillId="0" borderId="15" xfId="0" applyFont="1" applyBorder="1" applyAlignment="1">
      <alignment horizontal="center"/>
    </xf>
    <xf numFmtId="0" fontId="38" fillId="0" borderId="15" xfId="0" applyFont="1" applyBorder="1"/>
    <xf numFmtId="0" fontId="1" fillId="24" borderId="15" xfId="0" applyFont="1" applyFill="1" applyBorder="1" applyAlignment="1">
      <alignment horizontal="center" vertical="center" wrapText="1"/>
    </xf>
    <xf numFmtId="3" fontId="1" fillId="24" borderId="15" xfId="0" applyNumberFormat="1" applyFont="1" applyFill="1" applyBorder="1" applyAlignment="1">
      <alignment horizontal="right" vertical="center"/>
    </xf>
    <xf numFmtId="0" fontId="5" fillId="24" borderId="15" xfId="0" applyFont="1" applyFill="1" applyBorder="1"/>
    <xf numFmtId="3" fontId="1" fillId="24" borderId="15" xfId="0" applyNumberFormat="1" applyFont="1" applyFill="1" applyBorder="1"/>
    <xf numFmtId="0" fontId="37" fillId="24" borderId="15" xfId="0" applyFont="1" applyFill="1" applyBorder="1"/>
    <xf numFmtId="3" fontId="35" fillId="24" borderId="15" xfId="0" applyNumberFormat="1" applyFont="1" applyFill="1" applyBorder="1"/>
    <xf numFmtId="3" fontId="25" fillId="24" borderId="15" xfId="0" applyNumberFormat="1" applyFont="1" applyFill="1" applyBorder="1"/>
    <xf numFmtId="3" fontId="35" fillId="24" borderId="13" xfId="0" applyNumberFormat="1" applyFont="1" applyFill="1" applyBorder="1"/>
    <xf numFmtId="3" fontId="36" fillId="24" borderId="15" xfId="0" applyNumberFormat="1" applyFont="1" applyFill="1" applyBorder="1"/>
    <xf numFmtId="3" fontId="35" fillId="24" borderId="11" xfId="0" applyNumberFormat="1" applyFont="1" applyFill="1" applyBorder="1"/>
    <xf numFmtId="0" fontId="1" fillId="0" borderId="15" xfId="0" applyFont="1" applyBorder="1" applyAlignment="1">
      <alignment horizontal="center" vertical="center" wrapText="1"/>
    </xf>
    <xf numFmtId="0" fontId="35" fillId="0" borderId="0" xfId="44" applyFont="1"/>
    <xf numFmtId="0" fontId="24" fillId="0" borderId="0" xfId="44" applyFont="1" applyAlignment="1">
      <alignment horizontal="right"/>
    </xf>
    <xf numFmtId="0" fontId="36" fillId="0" borderId="0" xfId="44" applyFont="1"/>
    <xf numFmtId="0" fontId="4" fillId="0" borderId="0" xfId="44" applyFont="1" applyAlignment="1">
      <alignment horizontal="right"/>
    </xf>
    <xf numFmtId="0" fontId="36" fillId="0" borderId="15" xfId="37" applyFont="1" applyBorder="1" applyAlignment="1">
      <alignment horizontal="center" vertical="center" wrapText="1"/>
    </xf>
    <xf numFmtId="3" fontId="36" fillId="0" borderId="15" xfId="37" applyNumberFormat="1" applyFont="1" applyBorder="1" applyAlignment="1">
      <alignment vertical="center" wrapText="1"/>
    </xf>
    <xf numFmtId="0" fontId="36" fillId="0" borderId="15" xfId="44" applyFont="1" applyBorder="1" applyAlignment="1">
      <alignment vertical="center" wrapText="1"/>
    </xf>
    <xf numFmtId="0" fontId="36" fillId="0" borderId="15" xfId="37" applyFont="1" applyBorder="1" applyAlignment="1">
      <alignment vertical="center" wrapText="1"/>
    </xf>
    <xf numFmtId="0" fontId="38" fillId="0" borderId="15" xfId="44" applyFont="1" applyBorder="1" applyAlignment="1">
      <alignment horizontal="center" vertical="center" wrapText="1"/>
    </xf>
    <xf numFmtId="3" fontId="38" fillId="0" borderId="15" xfId="37" applyNumberFormat="1" applyFont="1" applyBorder="1" applyAlignment="1">
      <alignment vertical="center" wrapText="1"/>
    </xf>
    <xf numFmtId="0" fontId="38" fillId="0" borderId="22" xfId="37" applyFont="1" applyBorder="1" applyAlignment="1">
      <alignment vertical="center" wrapText="1"/>
    </xf>
    <xf numFmtId="0" fontId="38" fillId="0" borderId="16" xfId="0" applyFont="1" applyBorder="1" applyAlignment="1">
      <alignment horizontal="center"/>
    </xf>
    <xf numFmtId="0" fontId="1" fillId="0" borderId="15" xfId="0" applyFont="1" applyBorder="1" applyAlignment="1">
      <alignment horizontal="center" vertical="center" wrapText="1"/>
    </xf>
    <xf numFmtId="3" fontId="2" fillId="0" borderId="0" xfId="0" applyNumberFormat="1" applyFont="1" applyFill="1" applyBorder="1"/>
    <xf numFmtId="0" fontId="38" fillId="0" borderId="16" xfId="0" applyFont="1" applyBorder="1"/>
    <xf numFmtId="0" fontId="43" fillId="0" borderId="0" xfId="0" applyFont="1" applyBorder="1"/>
    <xf numFmtId="0" fontId="43" fillId="0" borderId="15" xfId="0" applyFont="1" applyBorder="1"/>
    <xf numFmtId="3" fontId="43" fillId="0" borderId="15" xfId="0" applyNumberFormat="1" applyFont="1" applyBorder="1"/>
    <xf numFmtId="3" fontId="1" fillId="0" borderId="16" xfId="0" applyNumberFormat="1" applyFont="1" applyBorder="1" applyAlignment="1">
      <alignment horizontal="center" wrapText="1"/>
    </xf>
    <xf numFmtId="3" fontId="38" fillId="0" borderId="16" xfId="0" applyNumberFormat="1" applyFont="1" applyBorder="1"/>
    <xf numFmtId="0" fontId="42" fillId="0" borderId="0" xfId="0" applyFont="1"/>
    <xf numFmtId="3" fontId="49" fillId="0" borderId="0" xfId="0" applyNumberFormat="1" applyFont="1" applyBorder="1"/>
    <xf numFmtId="3" fontId="49" fillId="0" borderId="0" xfId="0" applyNumberFormat="1" applyFont="1" applyAlignment="1">
      <alignment horizontal="right" vertical="center"/>
    </xf>
    <xf numFmtId="3" fontId="43" fillId="0" borderId="16" xfId="0" applyNumberFormat="1" applyFont="1" applyBorder="1"/>
    <xf numFmtId="3" fontId="43" fillId="0" borderId="0" xfId="0" applyNumberFormat="1" applyFont="1" applyBorder="1"/>
    <xf numFmtId="0" fontId="42" fillId="0" borderId="0" xfId="37" applyFont="1"/>
    <xf numFmtId="0" fontId="50" fillId="0" borderId="0" xfId="0" applyFont="1"/>
    <xf numFmtId="0" fontId="51" fillId="0" borderId="0" xfId="0" applyFont="1"/>
    <xf numFmtId="0" fontId="52" fillId="0" borderId="0" xfId="0" applyFont="1"/>
    <xf numFmtId="0" fontId="51" fillId="0" borderId="0" xfId="0" applyFont="1" applyBorder="1"/>
    <xf numFmtId="0" fontId="53" fillId="0" borderId="0" xfId="0" applyFont="1" applyBorder="1" applyAlignment="1">
      <alignment horizontal="left" vertical="center"/>
    </xf>
    <xf numFmtId="3" fontId="53" fillId="0" borderId="0" xfId="0" applyNumberFormat="1" applyFont="1" applyBorder="1"/>
    <xf numFmtId="166" fontId="51" fillId="0" borderId="0" xfId="0" applyNumberFormat="1" applyFont="1" applyBorder="1"/>
    <xf numFmtId="3" fontId="51" fillId="0" borderId="0" xfId="0" applyNumberFormat="1" applyFont="1" applyBorder="1"/>
    <xf numFmtId="165" fontId="51" fillId="0" borderId="0" xfId="0" applyNumberFormat="1" applyFont="1" applyBorder="1"/>
    <xf numFmtId="165" fontId="51" fillId="0" borderId="0" xfId="0" applyNumberFormat="1" applyFont="1"/>
    <xf numFmtId="0" fontId="39" fillId="0" borderId="0" xfId="0" applyFont="1" applyBorder="1" applyAlignment="1">
      <alignment horizontal="center" vertical="center"/>
    </xf>
    <xf numFmtId="0" fontId="1" fillId="0" borderId="0" xfId="0" applyFont="1" applyBorder="1" applyAlignment="1">
      <alignment horizontal="center" vertical="center" wrapText="1"/>
    </xf>
    <xf numFmtId="3" fontId="36" fillId="0" borderId="0" xfId="0" applyNumberFormat="1" applyFont="1" applyBorder="1" applyAlignment="1"/>
    <xf numFmtId="0" fontId="38" fillId="0" borderId="15" xfId="0" applyFont="1" applyBorder="1" applyAlignment="1">
      <alignment horizontal="center" vertical="center" wrapText="1"/>
    </xf>
    <xf numFmtId="0" fontId="1" fillId="0" borderId="15" xfId="0" applyFont="1" applyBorder="1" applyAlignment="1">
      <alignment vertical="center" wrapText="1"/>
    </xf>
    <xf numFmtId="3" fontId="1" fillId="0" borderId="15" xfId="0" applyNumberFormat="1" applyFont="1" applyBorder="1" applyAlignment="1">
      <alignment vertical="center" wrapText="1"/>
    </xf>
    <xf numFmtId="0" fontId="37" fillId="0" borderId="15" xfId="0" applyFont="1" applyBorder="1" applyAlignment="1">
      <alignment horizontal="left" vertical="center" wrapText="1"/>
    </xf>
    <xf numFmtId="0" fontId="38" fillId="0" borderId="15" xfId="0" applyFont="1" applyBorder="1" applyAlignment="1">
      <alignment vertical="center" wrapText="1"/>
    </xf>
    <xf numFmtId="3" fontId="38" fillId="0" borderId="15" xfId="0" applyNumberFormat="1" applyFont="1" applyBorder="1" applyAlignment="1">
      <alignment vertical="center" wrapText="1"/>
    </xf>
    <xf numFmtId="0" fontId="38" fillId="0" borderId="15" xfId="0" applyFont="1" applyBorder="1" applyAlignment="1">
      <alignment horizontal="left" vertical="center" wrapText="1"/>
    </xf>
    <xf numFmtId="0" fontId="34" fillId="24" borderId="15" xfId="0" applyFont="1" applyFill="1" applyBorder="1"/>
    <xf numFmtId="0" fontId="26" fillId="24" borderId="15" xfId="0" applyFont="1" applyFill="1" applyBorder="1"/>
    <xf numFmtId="0" fontId="25" fillId="24" borderId="15" xfId="0" applyFont="1" applyFill="1" applyBorder="1"/>
    <xf numFmtId="0" fontId="37" fillId="24" borderId="15" xfId="0" applyFont="1" applyFill="1" applyBorder="1" applyAlignment="1">
      <alignment horizontal="center"/>
    </xf>
    <xf numFmtId="3" fontId="36" fillId="24" borderId="15" xfId="37" applyNumberFormat="1" applyFont="1" applyFill="1" applyBorder="1" applyAlignment="1">
      <alignment vertical="center" wrapText="1"/>
    </xf>
    <xf numFmtId="0" fontId="36" fillId="24" borderId="15" xfId="44" applyFont="1" applyFill="1" applyBorder="1" applyAlignment="1">
      <alignment horizontal="left" vertical="center" wrapText="1"/>
    </xf>
    <xf numFmtId="0" fontId="28" fillId="0" borderId="0" xfId="0" applyFont="1" applyAlignment="1">
      <alignment horizontal="right"/>
    </xf>
    <xf numFmtId="0" fontId="37" fillId="0" borderId="15" xfId="0" applyFont="1" applyBorder="1" applyAlignment="1">
      <alignment horizontal="center" vertical="center" wrapText="1"/>
    </xf>
    <xf numFmtId="0" fontId="55" fillId="0" borderId="15" xfId="0" applyFont="1" applyBorder="1" applyAlignment="1">
      <alignment wrapText="1"/>
    </xf>
    <xf numFmtId="168" fontId="55" fillId="0" borderId="15" xfId="47" applyNumberFormat="1" applyFont="1" applyBorder="1"/>
    <xf numFmtId="169" fontId="55" fillId="0" borderId="15" xfId="47" applyNumberFormat="1" applyFont="1" applyBorder="1" applyAlignment="1">
      <alignment horizontal="right" vertical="center"/>
    </xf>
    <xf numFmtId="0" fontId="0" fillId="0" borderId="15" xfId="0" applyBorder="1"/>
    <xf numFmtId="0" fontId="56" fillId="0" borderId="15" xfId="0" applyFont="1" applyBorder="1" applyAlignment="1">
      <alignment horizontal="center" wrapText="1"/>
    </xf>
    <xf numFmtId="3" fontId="36" fillId="0" borderId="0" xfId="0" applyNumberFormat="1" applyFont="1" applyBorder="1" applyAlignment="1">
      <alignment horizontal="right"/>
    </xf>
    <xf numFmtId="3" fontId="4" fillId="24" borderId="15" xfId="37" applyNumberFormat="1" applyFont="1" applyFill="1" applyBorder="1"/>
    <xf numFmtId="3" fontId="49" fillId="0" borderId="16" xfId="0" applyNumberFormat="1" applyFont="1" applyBorder="1"/>
    <xf numFmtId="3" fontId="49" fillId="0" borderId="16" xfId="0" applyNumberFormat="1" applyFont="1" applyBorder="1" applyAlignment="1">
      <alignment horizontal="right"/>
    </xf>
    <xf numFmtId="0" fontId="36" fillId="24" borderId="15" xfId="44" applyFont="1" applyFill="1" applyBorder="1" applyAlignment="1">
      <alignment vertical="center" wrapText="1"/>
    </xf>
    <xf numFmtId="0" fontId="36" fillId="0" borderId="15" xfId="0" applyFont="1" applyBorder="1" applyAlignment="1">
      <alignment vertical="center" wrapText="1"/>
    </xf>
    <xf numFmtId="168" fontId="0" fillId="0" borderId="0" xfId="0" applyNumberFormat="1"/>
    <xf numFmtId="168" fontId="56" fillId="0" borderId="15" xfId="0" applyNumberFormat="1" applyFont="1" applyBorder="1" applyAlignment="1">
      <alignment horizontal="center" wrapText="1"/>
    </xf>
    <xf numFmtId="168" fontId="55" fillId="0" borderId="15" xfId="0" applyNumberFormat="1" applyFont="1" applyBorder="1" applyAlignment="1">
      <alignment wrapText="1"/>
    </xf>
    <xf numFmtId="0" fontId="36" fillId="24" borderId="15" xfId="0" applyFont="1" applyFill="1" applyBorder="1"/>
    <xf numFmtId="0" fontId="36" fillId="24" borderId="15" xfId="0" applyFont="1" applyFill="1" applyBorder="1" applyAlignment="1">
      <alignment horizontal="center"/>
    </xf>
    <xf numFmtId="0" fontId="47" fillId="24" borderId="15" xfId="0" applyFont="1" applyFill="1" applyBorder="1"/>
    <xf numFmtId="3" fontId="47" fillId="24" borderId="15" xfId="0" applyNumberFormat="1" applyFont="1" applyFill="1" applyBorder="1"/>
    <xf numFmtId="3" fontId="38" fillId="24" borderId="15" xfId="0" applyNumberFormat="1" applyFont="1" applyFill="1" applyBorder="1"/>
    <xf numFmtId="0" fontId="35" fillId="24" borderId="0" xfId="0" applyFont="1" applyFill="1" applyAlignment="1">
      <alignment wrapText="1"/>
    </xf>
    <xf numFmtId="0" fontId="38" fillId="24" borderId="0" xfId="0" applyFont="1" applyFill="1" applyAlignment="1">
      <alignment horizontal="right"/>
    </xf>
    <xf numFmtId="0" fontId="5" fillId="24" borderId="18" xfId="0" applyFont="1" applyFill="1" applyBorder="1" applyAlignment="1"/>
    <xf numFmtId="0" fontId="5" fillId="24" borderId="18" xfId="0" applyFont="1" applyFill="1" applyBorder="1" applyAlignment="1">
      <alignment wrapText="1"/>
    </xf>
    <xf numFmtId="0" fontId="38" fillId="24" borderId="0" xfId="0" applyFont="1" applyFill="1"/>
    <xf numFmtId="0" fontId="26" fillId="24" borderId="15" xfId="0" applyFont="1" applyFill="1" applyBorder="1" applyAlignment="1">
      <alignment horizontal="center" vertical="center"/>
    </xf>
    <xf numFmtId="0" fontId="26" fillId="24" borderId="15" xfId="0" applyFont="1" applyFill="1" applyBorder="1" applyAlignment="1">
      <alignment horizontal="center" vertical="center" wrapText="1"/>
    </xf>
    <xf numFmtId="3" fontId="37" fillId="24" borderId="15" xfId="37" applyNumberFormat="1" applyFont="1" applyFill="1" applyBorder="1"/>
    <xf numFmtId="0" fontId="47" fillId="24" borderId="15" xfId="0" applyFont="1" applyFill="1" applyBorder="1" applyAlignment="1">
      <alignment wrapText="1"/>
    </xf>
    <xf numFmtId="0" fontId="26" fillId="24" borderId="15" xfId="37" applyFont="1" applyFill="1" applyBorder="1" applyAlignment="1">
      <alignment horizontal="center"/>
    </xf>
    <xf numFmtId="0" fontId="1" fillId="24" borderId="15" xfId="0" applyFont="1" applyFill="1" applyBorder="1" applyAlignment="1">
      <alignment horizontal="left" wrapText="1"/>
    </xf>
    <xf numFmtId="0" fontId="1" fillId="24" borderId="15" xfId="0" applyFont="1" applyFill="1" applyBorder="1"/>
    <xf numFmtId="3" fontId="37" fillId="24" borderId="15" xfId="0" applyNumberFormat="1" applyFont="1" applyFill="1" applyBorder="1"/>
    <xf numFmtId="3" fontId="1" fillId="24" borderId="15" xfId="37" applyNumberFormat="1" applyFont="1" applyFill="1" applyBorder="1"/>
    <xf numFmtId="3" fontId="5" fillId="24" borderId="15" xfId="0" applyNumberFormat="1" applyFont="1" applyFill="1" applyBorder="1"/>
    <xf numFmtId="0" fontId="25" fillId="24" borderId="15" xfId="0" applyFont="1" applyFill="1" applyBorder="1" applyAlignment="1">
      <alignment horizontal="center"/>
    </xf>
    <xf numFmtId="0" fontId="4" fillId="24" borderId="15" xfId="0" applyFont="1" applyFill="1" applyBorder="1" applyAlignment="1">
      <alignment wrapText="1"/>
    </xf>
    <xf numFmtId="3" fontId="4" fillId="24" borderId="15" xfId="0" applyNumberFormat="1" applyFont="1" applyFill="1" applyBorder="1"/>
    <xf numFmtId="0" fontId="37" fillId="24" borderId="15" xfId="0" applyFont="1" applyFill="1" applyBorder="1" applyAlignment="1">
      <alignment wrapText="1"/>
    </xf>
    <xf numFmtId="0" fontId="37" fillId="24" borderId="15" xfId="0" applyFont="1" applyFill="1" applyBorder="1" applyAlignment="1">
      <alignment horizontal="left" wrapText="1"/>
    </xf>
    <xf numFmtId="0" fontId="26" fillId="24" borderId="15" xfId="0" applyFont="1" applyFill="1" applyBorder="1" applyAlignment="1">
      <alignment horizontal="center"/>
    </xf>
    <xf numFmtId="0" fontId="1" fillId="24" borderId="15" xfId="0" applyFont="1" applyFill="1" applyBorder="1" applyAlignment="1">
      <alignment wrapText="1"/>
    </xf>
    <xf numFmtId="0" fontId="1" fillId="24" borderId="15" xfId="0" applyFont="1" applyFill="1" applyBorder="1" applyAlignment="1">
      <alignment horizontal="center"/>
    </xf>
    <xf numFmtId="3" fontId="25" fillId="24" borderId="15" xfId="0" applyNumberFormat="1" applyFont="1" applyFill="1" applyBorder="1" applyAlignment="1">
      <alignment horizontal="right"/>
    </xf>
    <xf numFmtId="0" fontId="4" fillId="24" borderId="15" xfId="0" applyFont="1" applyFill="1" applyBorder="1"/>
    <xf numFmtId="3" fontId="1" fillId="24" borderId="13" xfId="0" applyNumberFormat="1" applyFont="1" applyFill="1" applyBorder="1"/>
    <xf numFmtId="3" fontId="37" fillId="24" borderId="15" xfId="0" applyNumberFormat="1" applyFont="1" applyFill="1" applyBorder="1" applyAlignment="1">
      <alignment horizontal="right"/>
    </xf>
    <xf numFmtId="0" fontId="37" fillId="24" borderId="15" xfId="0" applyFont="1" applyFill="1" applyBorder="1" applyAlignment="1">
      <alignment vertical="center" wrapText="1"/>
    </xf>
    <xf numFmtId="0" fontId="37" fillId="24" borderId="11" xfId="0" applyFont="1" applyFill="1" applyBorder="1" applyAlignment="1">
      <alignment horizontal="center"/>
    </xf>
    <xf numFmtId="0" fontId="26" fillId="24" borderId="15" xfId="0" applyFont="1" applyFill="1" applyBorder="1" applyAlignment="1">
      <alignment horizontal="right"/>
    </xf>
    <xf numFmtId="3" fontId="1" fillId="24" borderId="15" xfId="0" applyNumberFormat="1" applyFont="1" applyFill="1" applyBorder="1" applyAlignment="1">
      <alignment horizontal="right"/>
    </xf>
    <xf numFmtId="0" fontId="26" fillId="24" borderId="15" xfId="0" applyFont="1" applyFill="1" applyBorder="1" applyAlignment="1">
      <alignment horizontal="right" vertical="top"/>
    </xf>
    <xf numFmtId="3" fontId="1" fillId="24" borderId="15" xfId="0" applyNumberFormat="1" applyFont="1" applyFill="1" applyBorder="1" applyAlignment="1">
      <alignment vertical="center"/>
    </xf>
    <xf numFmtId="0" fontId="4" fillId="24" borderId="0" xfId="0" applyFont="1" applyFill="1" applyAlignment="1">
      <alignment horizontal="left"/>
    </xf>
    <xf numFmtId="3" fontId="35" fillId="24" borderId="0" xfId="0" applyNumberFormat="1" applyFont="1" applyFill="1"/>
    <xf numFmtId="3" fontId="35" fillId="24" borderId="0" xfId="0" applyNumberFormat="1" applyFont="1" applyFill="1" applyAlignment="1"/>
    <xf numFmtId="0" fontId="4" fillId="24" borderId="0" xfId="0" applyFont="1" applyFill="1" applyAlignment="1"/>
    <xf numFmtId="0" fontId="37" fillId="24" borderId="0" xfId="0" applyFont="1" applyFill="1" applyAlignment="1"/>
    <xf numFmtId="0" fontId="4" fillId="24" borderId="0" xfId="0" applyFont="1" applyFill="1"/>
    <xf numFmtId="0" fontId="1" fillId="24" borderId="15" xfId="0" applyFont="1" applyFill="1" applyBorder="1" applyAlignment="1">
      <alignment horizontal="left" vertical="center" wrapText="1"/>
    </xf>
    <xf numFmtId="0" fontId="25" fillId="24" borderId="15" xfId="37" applyFont="1" applyFill="1" applyBorder="1" applyAlignment="1">
      <alignment horizontal="center"/>
    </xf>
    <xf numFmtId="0" fontId="4" fillId="24" borderId="15" xfId="0" applyFont="1" applyFill="1" applyBorder="1" applyAlignment="1">
      <alignment horizontal="left" wrapText="1"/>
    </xf>
    <xf numFmtId="0" fontId="1" fillId="24" borderId="15" xfId="37" applyFont="1" applyFill="1" applyBorder="1" applyAlignment="1">
      <alignment wrapText="1"/>
    </xf>
    <xf numFmtId="0" fontId="37" fillId="24" borderId="15" xfId="37" applyFont="1" applyFill="1" applyBorder="1"/>
    <xf numFmtId="0" fontId="1" fillId="24" borderId="15" xfId="37" applyFont="1" applyFill="1" applyBorder="1"/>
    <xf numFmtId="0" fontId="37" fillId="24" borderId="15" xfId="37" applyFont="1" applyFill="1" applyBorder="1" applyAlignment="1">
      <alignment horizontal="center"/>
    </xf>
    <xf numFmtId="0" fontId="36" fillId="24" borderId="0" xfId="44" applyFont="1" applyFill="1"/>
    <xf numFmtId="0" fontId="4" fillId="24" borderId="0" xfId="44" applyFont="1" applyFill="1" applyAlignment="1">
      <alignment horizontal="right"/>
    </xf>
    <xf numFmtId="0" fontId="36" fillId="24" borderId="15" xfId="37" applyFont="1" applyFill="1" applyBorder="1" applyAlignment="1">
      <alignment horizontal="center" vertical="center" wrapText="1"/>
    </xf>
    <xf numFmtId="0" fontId="36" fillId="24" borderId="15" xfId="37" applyFont="1" applyFill="1" applyBorder="1" applyAlignment="1">
      <alignment vertical="center" wrapText="1"/>
    </xf>
    <xf numFmtId="3" fontId="36" fillId="24" borderId="15" xfId="37" applyNumberFormat="1" applyFont="1" applyFill="1" applyBorder="1" applyAlignment="1">
      <alignment horizontal="left" vertical="center" wrapText="1"/>
    </xf>
    <xf numFmtId="0" fontId="36" fillId="24" borderId="15" xfId="37" applyFont="1" applyFill="1" applyBorder="1" applyAlignment="1">
      <alignment horizontal="left" vertical="center" wrapText="1"/>
    </xf>
    <xf numFmtId="0" fontId="38" fillId="24" borderId="15" xfId="44" applyFont="1" applyFill="1" applyBorder="1" applyAlignment="1">
      <alignment horizontal="center" vertical="center" wrapText="1"/>
    </xf>
    <xf numFmtId="3" fontId="38" fillId="24" borderId="15" xfId="37" applyNumberFormat="1" applyFont="1" applyFill="1" applyBorder="1" applyAlignment="1">
      <alignment vertical="center" wrapText="1"/>
    </xf>
    <xf numFmtId="0" fontId="38" fillId="24" borderId="22" xfId="37" applyFont="1" applyFill="1" applyBorder="1" applyAlignment="1">
      <alignment vertical="center" wrapText="1"/>
    </xf>
    <xf numFmtId="3" fontId="36" fillId="24" borderId="22" xfId="37" applyNumberFormat="1" applyFont="1" applyFill="1" applyBorder="1" applyAlignment="1">
      <alignment vertical="center" wrapText="1"/>
    </xf>
    <xf numFmtId="0" fontId="36" fillId="24" borderId="16" xfId="0" applyFont="1" applyFill="1" applyBorder="1"/>
    <xf numFmtId="0" fontId="36" fillId="24" borderId="0" xfId="0" applyFont="1" applyFill="1" applyBorder="1"/>
    <xf numFmtId="3" fontId="36" fillId="24" borderId="16" xfId="0" applyNumberFormat="1" applyFont="1" applyFill="1" applyBorder="1"/>
    <xf numFmtId="0" fontId="36" fillId="24" borderId="15" xfId="0" applyFont="1" applyFill="1" applyBorder="1" applyAlignment="1">
      <alignment wrapText="1"/>
    </xf>
    <xf numFmtId="3" fontId="36" fillId="24" borderId="0" xfId="0" applyNumberFormat="1" applyFont="1" applyFill="1" applyBorder="1"/>
    <xf numFmtId="49" fontId="37" fillId="24" borderId="0" xfId="0" applyNumberFormat="1" applyFont="1" applyFill="1" applyBorder="1" applyAlignment="1">
      <alignment wrapText="1"/>
    </xf>
    <xf numFmtId="0" fontId="36" fillId="24" borderId="0" xfId="0" applyFont="1" applyFill="1" applyBorder="1" applyAlignment="1">
      <alignment horizontal="center"/>
    </xf>
    <xf numFmtId="0" fontId="47" fillId="24" borderId="15" xfId="0" applyFont="1" applyFill="1" applyBorder="1" applyAlignment="1">
      <alignment horizontal="center"/>
    </xf>
    <xf numFmtId="3" fontId="36" fillId="24" borderId="0" xfId="0" applyNumberFormat="1" applyFont="1" applyFill="1"/>
    <xf numFmtId="166" fontId="36" fillId="24" borderId="15" xfId="0" applyNumberFormat="1" applyFont="1" applyFill="1" applyBorder="1"/>
    <xf numFmtId="3" fontId="2" fillId="24" borderId="0" xfId="0" applyNumberFormat="1" applyFont="1" applyFill="1"/>
    <xf numFmtId="0" fontId="47" fillId="24" borderId="0" xfId="0" applyFont="1" applyFill="1" applyBorder="1"/>
    <xf numFmtId="37" fontId="36" fillId="24" borderId="0" xfId="0" applyNumberFormat="1" applyFont="1" applyFill="1" applyAlignment="1">
      <alignment horizontal="right"/>
    </xf>
    <xf numFmtId="37" fontId="36" fillId="24" borderId="0" xfId="0" applyNumberFormat="1" applyFont="1" applyFill="1" applyAlignment="1">
      <alignment horizontal="right" vertical="center"/>
    </xf>
    <xf numFmtId="0" fontId="36" fillId="24" borderId="0" xfId="0" applyFont="1" applyFill="1" applyAlignment="1">
      <alignment horizontal="center" vertical="center"/>
    </xf>
    <xf numFmtId="0" fontId="36" fillId="24" borderId="15" xfId="0" applyFont="1" applyFill="1" applyBorder="1" applyAlignment="1">
      <alignment horizontal="left" vertical="center"/>
    </xf>
    <xf numFmtId="0" fontId="36" fillId="24" borderId="15" xfId="0" applyFont="1" applyFill="1" applyBorder="1" applyAlignment="1">
      <alignment horizontal="center" vertical="center"/>
    </xf>
    <xf numFmtId="0" fontId="38" fillId="24" borderId="0" xfId="0" applyFont="1" applyFill="1" applyAlignment="1">
      <alignment horizontal="right" vertical="center"/>
    </xf>
    <xf numFmtId="37" fontId="36" fillId="24" borderId="0" xfId="0" applyNumberFormat="1" applyFont="1" applyFill="1" applyAlignment="1">
      <alignment horizontal="left" vertical="center"/>
    </xf>
    <xf numFmtId="0" fontId="36" fillId="24" borderId="0" xfId="0" applyFont="1" applyFill="1" applyAlignment="1">
      <alignment horizontal="right"/>
    </xf>
    <xf numFmtId="49" fontId="37" fillId="24" borderId="15" xfId="0" applyNumberFormat="1" applyFont="1" applyFill="1" applyBorder="1" applyAlignment="1">
      <alignment wrapText="1"/>
    </xf>
    <xf numFmtId="37" fontId="36" fillId="24" borderId="0" xfId="0" applyNumberFormat="1" applyFont="1" applyFill="1" applyBorder="1" applyAlignment="1">
      <alignment horizontal="center" vertical="center"/>
    </xf>
    <xf numFmtId="37" fontId="36" fillId="24" borderId="0" xfId="0" applyNumberFormat="1" applyFont="1" applyFill="1" applyAlignment="1">
      <alignment horizontal="center" vertical="center"/>
    </xf>
    <xf numFmtId="0" fontId="41" fillId="24" borderId="15" xfId="0" applyFont="1" applyFill="1" applyBorder="1" applyAlignment="1">
      <alignment horizontal="center"/>
    </xf>
    <xf numFmtId="0" fontId="41" fillId="24" borderId="15" xfId="0" applyFont="1" applyFill="1" applyBorder="1" applyAlignment="1">
      <alignment horizontal="center" vertical="center" wrapText="1"/>
    </xf>
    <xf numFmtId="37" fontId="38" fillId="24" borderId="0" xfId="0" applyNumberFormat="1" applyFont="1" applyFill="1" applyAlignment="1">
      <alignment horizontal="right" vertical="center"/>
    </xf>
    <xf numFmtId="0" fontId="38" fillId="24" borderId="0" xfId="0" applyFont="1" applyFill="1" applyAlignment="1">
      <alignment horizontal="center" vertical="center"/>
    </xf>
    <xf numFmtId="0" fontId="38" fillId="0" borderId="0" xfId="0" applyFont="1" applyAlignment="1">
      <alignment horizontal="right"/>
    </xf>
    <xf numFmtId="0" fontId="37" fillId="24" borderId="15" xfId="44" applyFont="1" applyFill="1" applyBorder="1" applyAlignment="1">
      <alignment vertical="center" wrapText="1"/>
    </xf>
    <xf numFmtId="0" fontId="37" fillId="24" borderId="15" xfId="37" applyFont="1" applyFill="1" applyBorder="1" applyAlignment="1">
      <alignment vertical="center" wrapText="1"/>
    </xf>
    <xf numFmtId="0" fontId="38" fillId="0" borderId="16" xfId="0" applyFont="1" applyBorder="1" applyAlignment="1">
      <alignment horizontal="center"/>
    </xf>
    <xf numFmtId="3" fontId="40" fillId="24" borderId="15" xfId="0" applyNumberFormat="1" applyFont="1" applyFill="1" applyBorder="1"/>
    <xf numFmtId="0" fontId="38" fillId="0" borderId="0" xfId="0" applyFont="1" applyAlignment="1">
      <alignment horizontal="right"/>
    </xf>
    <xf numFmtId="0" fontId="41" fillId="0" borderId="0" xfId="0" applyFont="1" applyAlignment="1">
      <alignment horizontal="center"/>
    </xf>
    <xf numFmtId="0" fontId="4" fillId="0" borderId="0" xfId="0" applyFont="1" applyAlignment="1">
      <alignment horizontal="center"/>
    </xf>
    <xf numFmtId="0" fontId="4" fillId="0" borderId="0" xfId="0" applyFont="1" applyBorder="1" applyAlignment="1">
      <alignment horizontal="right"/>
    </xf>
    <xf numFmtId="0" fontId="1" fillId="0" borderId="15" xfId="0" applyFont="1" applyBorder="1" applyAlignment="1">
      <alignment horizontal="center" vertical="center" wrapText="1"/>
    </xf>
    <xf numFmtId="0" fontId="38" fillId="24" borderId="15" xfId="0" applyFont="1" applyFill="1" applyBorder="1" applyAlignment="1">
      <alignment horizontal="center" vertical="center"/>
    </xf>
    <xf numFmtId="0" fontId="4" fillId="24" borderId="0" xfId="0" applyFont="1" applyFill="1" applyAlignment="1">
      <alignment horizontal="left"/>
    </xf>
    <xf numFmtId="0" fontId="1" fillId="0" borderId="10" xfId="0" applyFont="1" applyBorder="1" applyAlignment="1">
      <alignment horizontal="center" vertical="center"/>
    </xf>
    <xf numFmtId="3" fontId="57" fillId="0" borderId="0" xfId="37" applyNumberFormat="1" applyFont="1" applyBorder="1"/>
    <xf numFmtId="3" fontId="43" fillId="0" borderId="0" xfId="0" applyNumberFormat="1" applyFont="1"/>
    <xf numFmtId="165" fontId="43" fillId="0" borderId="0" xfId="0" applyNumberFormat="1" applyFont="1"/>
    <xf numFmtId="3" fontId="58" fillId="0" borderId="0" xfId="0" applyNumberFormat="1" applyFont="1" applyFill="1" applyBorder="1"/>
    <xf numFmtId="3" fontId="37" fillId="0" borderId="0" xfId="0" applyNumberFormat="1" applyFont="1" applyAlignment="1"/>
    <xf numFmtId="0" fontId="38" fillId="24" borderId="0" xfId="44" applyFont="1" applyFill="1" applyAlignment="1">
      <alignment horizontal="right"/>
    </xf>
    <xf numFmtId="0" fontId="36" fillId="24" borderId="0" xfId="37" applyFont="1" applyFill="1"/>
    <xf numFmtId="0" fontId="38" fillId="24" borderId="0" xfId="37" applyFont="1" applyFill="1"/>
    <xf numFmtId="0" fontId="36" fillId="0" borderId="0" xfId="0" applyFont="1" applyAlignment="1">
      <alignment horizontal="center"/>
    </xf>
    <xf numFmtId="0" fontId="1" fillId="0" borderId="0" xfId="0" applyFont="1"/>
    <xf numFmtId="0" fontId="37" fillId="0" borderId="0" xfId="0" applyFont="1"/>
    <xf numFmtId="3" fontId="59" fillId="0" borderId="0" xfId="0" applyNumberFormat="1" applyFont="1"/>
    <xf numFmtId="0" fontId="59" fillId="0" borderId="0" xfId="0" applyFont="1"/>
    <xf numFmtId="3" fontId="36" fillId="0" borderId="0" xfId="0" applyNumberFormat="1" applyFont="1" applyAlignment="1">
      <alignment horizontal="left"/>
    </xf>
    <xf numFmtId="0" fontId="36" fillId="0" borderId="0" xfId="0" applyFont="1" applyAlignment="1">
      <alignment horizontal="left"/>
    </xf>
    <xf numFmtId="3" fontId="36" fillId="0" borderId="0" xfId="0" applyNumberFormat="1" applyFont="1" applyAlignment="1"/>
    <xf numFmtId="0" fontId="38" fillId="0" borderId="0" xfId="0" applyFont="1" applyAlignment="1">
      <alignment horizontal="right"/>
    </xf>
    <xf numFmtId="0" fontId="41" fillId="0" borderId="0" xfId="0" applyFont="1" applyAlignment="1">
      <alignment horizontal="center"/>
    </xf>
    <xf numFmtId="0" fontId="4" fillId="0" borderId="0" xfId="0" applyFont="1" applyAlignment="1">
      <alignment horizontal="center"/>
    </xf>
    <xf numFmtId="0" fontId="4" fillId="0" borderId="0" xfId="0" applyFont="1" applyBorder="1" applyAlignment="1">
      <alignment horizontal="right"/>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38" fillId="0" borderId="15" xfId="0" applyFont="1" applyBorder="1" applyAlignment="1">
      <alignment horizontal="center" vertical="center"/>
    </xf>
    <xf numFmtId="0" fontId="39" fillId="0" borderId="15" xfId="0" applyFont="1" applyBorder="1" applyAlignment="1">
      <alignment horizontal="center" vertical="center"/>
    </xf>
    <xf numFmtId="0" fontId="38" fillId="24" borderId="0" xfId="0" applyFont="1" applyFill="1" applyAlignment="1">
      <alignment horizontal="center"/>
    </xf>
    <xf numFmtId="0" fontId="4" fillId="0" borderId="0" xfId="0" applyFont="1" applyAlignment="1">
      <alignment horizontal="left"/>
    </xf>
    <xf numFmtId="0" fontId="39" fillId="24" borderId="0" xfId="0" applyFont="1" applyFill="1" applyAlignment="1">
      <alignment horizontal="center"/>
    </xf>
    <xf numFmtId="0" fontId="4" fillId="24" borderId="0" xfId="0" applyFont="1" applyFill="1" applyAlignment="1">
      <alignment horizontal="center"/>
    </xf>
    <xf numFmtId="0" fontId="40" fillId="24" borderId="0" xfId="0" applyFont="1" applyFill="1" applyAlignment="1">
      <alignment horizontal="left"/>
    </xf>
    <xf numFmtId="0" fontId="38" fillId="24" borderId="15" xfId="0" applyFont="1" applyFill="1" applyBorder="1" applyAlignment="1">
      <alignment horizontal="center" vertical="center" wrapText="1"/>
    </xf>
    <xf numFmtId="0" fontId="38" fillId="24" borderId="15" xfId="0" applyFont="1" applyFill="1" applyBorder="1" applyAlignment="1">
      <alignment horizontal="center" vertical="center"/>
    </xf>
    <xf numFmtId="0" fontId="38" fillId="24" borderId="10" xfId="0" applyFont="1" applyFill="1" applyBorder="1" applyAlignment="1">
      <alignment horizontal="center" vertical="center" wrapText="1"/>
    </xf>
    <xf numFmtId="0" fontId="38" fillId="24" borderId="17" xfId="0" applyFont="1" applyFill="1" applyBorder="1" applyAlignment="1">
      <alignment horizontal="center" vertical="center" wrapText="1"/>
    </xf>
    <xf numFmtId="0" fontId="38" fillId="24" borderId="11" xfId="0" applyFont="1" applyFill="1" applyBorder="1" applyAlignment="1">
      <alignment horizontal="center" vertical="center" wrapText="1"/>
    </xf>
    <xf numFmtId="0" fontId="1" fillId="24" borderId="10" xfId="0" applyFont="1" applyFill="1" applyBorder="1" applyAlignment="1">
      <alignment horizontal="center" vertical="center"/>
    </xf>
    <xf numFmtId="0" fontId="1" fillId="24" borderId="17" xfId="0" applyFont="1" applyFill="1" applyBorder="1" applyAlignment="1">
      <alignment horizontal="center" vertical="center"/>
    </xf>
    <xf numFmtId="0" fontId="1" fillId="24" borderId="11" xfId="0" applyFont="1" applyFill="1" applyBorder="1" applyAlignment="1">
      <alignment horizontal="center" vertical="center"/>
    </xf>
    <xf numFmtId="0" fontId="38" fillId="24" borderId="10" xfId="0" applyFont="1" applyFill="1" applyBorder="1" applyAlignment="1">
      <alignment horizontal="center" vertical="center"/>
    </xf>
    <xf numFmtId="0" fontId="38" fillId="24" borderId="17" xfId="0" applyFont="1" applyFill="1" applyBorder="1" applyAlignment="1">
      <alignment horizontal="center" vertical="center"/>
    </xf>
    <xf numFmtId="0" fontId="38" fillId="24" borderId="11" xfId="0" applyFont="1" applyFill="1" applyBorder="1" applyAlignment="1">
      <alignment horizontal="center" vertical="center"/>
    </xf>
    <xf numFmtId="0" fontId="47" fillId="24" borderId="18" xfId="0" applyFont="1" applyFill="1" applyBorder="1" applyAlignment="1">
      <alignment horizontal="center"/>
    </xf>
    <xf numFmtId="0" fontId="39" fillId="24" borderId="0" xfId="44" applyFont="1" applyFill="1" applyAlignment="1">
      <alignment horizontal="center"/>
    </xf>
    <xf numFmtId="0" fontId="38" fillId="24" borderId="10" xfId="44" applyFont="1" applyFill="1" applyBorder="1" applyAlignment="1">
      <alignment horizontal="center" vertical="center"/>
    </xf>
    <xf numFmtId="0" fontId="38" fillId="24" borderId="11" xfId="44" applyFont="1" applyFill="1" applyBorder="1" applyAlignment="1">
      <alignment horizontal="center" vertical="center"/>
    </xf>
    <xf numFmtId="0" fontId="38" fillId="24" borderId="24" xfId="44" applyFont="1" applyFill="1" applyBorder="1" applyAlignment="1">
      <alignment horizontal="center" vertical="center" wrapText="1"/>
    </xf>
    <xf numFmtId="0" fontId="38" fillId="24" borderId="26" xfId="44" applyFont="1" applyFill="1" applyBorder="1" applyAlignment="1">
      <alignment horizontal="center" vertical="center" wrapText="1"/>
    </xf>
    <xf numFmtId="0" fontId="40" fillId="0" borderId="0" xfId="0" applyFont="1" applyAlignment="1">
      <alignment horizontal="left"/>
    </xf>
    <xf numFmtId="0" fontId="39" fillId="0" borderId="0" xfId="0" applyFont="1" applyAlignment="1">
      <alignment horizontal="center"/>
    </xf>
    <xf numFmtId="0" fontId="1" fillId="24" borderId="23" xfId="0" applyFont="1" applyFill="1" applyBorder="1" applyAlignment="1">
      <alignment horizontal="center" vertical="center" wrapText="1"/>
    </xf>
    <xf numFmtId="0" fontId="1" fillId="24" borderId="22" xfId="0" applyFont="1" applyFill="1" applyBorder="1" applyAlignment="1">
      <alignment horizontal="center" vertical="center" wrapText="1"/>
    </xf>
    <xf numFmtId="0" fontId="1" fillId="24" borderId="24" xfId="0" applyFont="1" applyFill="1" applyBorder="1" applyAlignment="1">
      <alignment horizontal="center" vertical="center" wrapText="1"/>
    </xf>
    <xf numFmtId="0" fontId="1" fillId="24" borderId="25" xfId="0" applyFont="1" applyFill="1" applyBorder="1" applyAlignment="1">
      <alignment horizontal="center" vertical="center" wrapText="1"/>
    </xf>
    <xf numFmtId="0" fontId="1" fillId="24" borderId="18" xfId="0" applyFont="1" applyFill="1" applyBorder="1" applyAlignment="1">
      <alignment horizontal="center" vertical="center" wrapText="1"/>
    </xf>
    <xf numFmtId="0" fontId="1" fillId="24" borderId="26" xfId="0" applyFont="1" applyFill="1" applyBorder="1" applyAlignment="1">
      <alignment horizontal="center" vertical="center" wrapText="1"/>
    </xf>
    <xf numFmtId="0" fontId="4" fillId="24" borderId="0" xfId="0" applyFont="1" applyFill="1" applyAlignment="1">
      <alignment horizontal="left"/>
    </xf>
    <xf numFmtId="0" fontId="46" fillId="24" borderId="18" xfId="0" applyFont="1" applyFill="1" applyBorder="1" applyAlignment="1">
      <alignment horizontal="right"/>
    </xf>
    <xf numFmtId="0" fontId="1" fillId="24" borderId="10" xfId="0" applyFont="1" applyFill="1" applyBorder="1" applyAlignment="1">
      <alignment horizontal="center" vertical="center" wrapText="1"/>
    </xf>
    <xf numFmtId="0" fontId="1" fillId="24" borderId="17" xfId="0" applyFont="1" applyFill="1" applyBorder="1" applyAlignment="1">
      <alignment horizontal="center" vertical="center" wrapText="1"/>
    </xf>
    <xf numFmtId="0" fontId="1" fillId="24" borderId="11" xfId="0" applyFont="1" applyFill="1" applyBorder="1" applyAlignment="1">
      <alignment horizontal="center" vertical="center" wrapText="1"/>
    </xf>
    <xf numFmtId="3" fontId="26" fillId="0" borderId="19" xfId="0" applyNumberFormat="1" applyFont="1" applyBorder="1" applyAlignment="1">
      <alignment horizontal="center"/>
    </xf>
    <xf numFmtId="3" fontId="26" fillId="0" borderId="21" xfId="0" applyNumberFormat="1" applyFont="1" applyBorder="1" applyAlignment="1">
      <alignment horizontal="center"/>
    </xf>
    <xf numFmtId="3" fontId="26" fillId="0" borderId="20" xfId="0" applyNumberFormat="1" applyFont="1" applyBorder="1" applyAlignment="1">
      <alignment horizontal="center"/>
    </xf>
    <xf numFmtId="0" fontId="24" fillId="0" borderId="19" xfId="0" applyFont="1" applyBorder="1" applyAlignment="1">
      <alignment horizontal="center"/>
    </xf>
    <xf numFmtId="0" fontId="24" fillId="0" borderId="21" xfId="0" applyFont="1" applyBorder="1" applyAlignment="1">
      <alignment horizontal="center"/>
    </xf>
    <xf numFmtId="0" fontId="24" fillId="0" borderId="20" xfId="0" applyFont="1" applyBorder="1" applyAlignment="1">
      <alignment horizontal="center"/>
    </xf>
    <xf numFmtId="0" fontId="26" fillId="0" borderId="19" xfId="0" applyFont="1" applyBorder="1" applyAlignment="1">
      <alignment horizontal="center"/>
    </xf>
    <xf numFmtId="0" fontId="26" fillId="0" borderId="21" xfId="0" applyFont="1" applyBorder="1" applyAlignment="1">
      <alignment horizontal="center"/>
    </xf>
    <xf numFmtId="0" fontId="26" fillId="0" borderId="20" xfId="0" applyFont="1" applyBorder="1" applyAlignment="1">
      <alignment horizontal="center"/>
    </xf>
    <xf numFmtId="0" fontId="5" fillId="0" borderId="0" xfId="0" applyFont="1" applyAlignment="1">
      <alignment horizontal="center"/>
    </xf>
    <xf numFmtId="0" fontId="32" fillId="0" borderId="0" xfId="0" applyFont="1" applyAlignment="1">
      <alignment horizontal="center"/>
    </xf>
    <xf numFmtId="0" fontId="31" fillId="0" borderId="0" xfId="0" applyFont="1" applyAlignment="1">
      <alignment horizontal="center"/>
    </xf>
    <xf numFmtId="0" fontId="26" fillId="0" borderId="10" xfId="0" applyFont="1" applyBorder="1" applyAlignment="1">
      <alignment horizontal="center" vertical="center" wrapText="1"/>
    </xf>
    <xf numFmtId="0" fontId="26" fillId="0" borderId="17" xfId="0" applyFont="1" applyBorder="1" applyAlignment="1">
      <alignment horizontal="center" vertical="center"/>
    </xf>
    <xf numFmtId="0" fontId="26" fillId="0" borderId="11" xfId="0" applyFont="1" applyBorder="1" applyAlignment="1">
      <alignment horizontal="center" vertical="center"/>
    </xf>
    <xf numFmtId="0" fontId="28" fillId="0" borderId="18" xfId="0" applyFont="1" applyBorder="1" applyAlignment="1">
      <alignment horizontal="center"/>
    </xf>
    <xf numFmtId="0" fontId="31" fillId="0" borderId="0" xfId="0" applyFont="1" applyBorder="1" applyAlignment="1">
      <alignment horizontal="left"/>
    </xf>
    <xf numFmtId="0" fontId="6" fillId="0" borderId="0" xfId="0" applyFont="1" applyBorder="1" applyAlignment="1">
      <alignment horizontal="left"/>
    </xf>
    <xf numFmtId="0" fontId="33" fillId="0" borderId="0" xfId="0" applyFont="1" applyBorder="1" applyAlignment="1">
      <alignment horizontal="center"/>
    </xf>
    <xf numFmtId="0" fontId="26" fillId="0" borderId="0" xfId="0" applyFont="1" applyBorder="1" applyAlignment="1">
      <alignment horizontal="left"/>
    </xf>
    <xf numFmtId="0" fontId="26" fillId="0" borderId="0" xfId="0" applyFont="1" applyBorder="1" applyAlignment="1">
      <alignment horizont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11"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9" fillId="0" borderId="0" xfId="44" applyFont="1" applyAlignment="1">
      <alignment horizontal="center"/>
    </xf>
    <xf numFmtId="0" fontId="38" fillId="0" borderId="10" xfId="44" applyFont="1" applyBorder="1" applyAlignment="1">
      <alignment horizontal="center" vertical="center"/>
    </xf>
    <xf numFmtId="0" fontId="38" fillId="0" borderId="11" xfId="44" applyFont="1" applyBorder="1" applyAlignment="1">
      <alignment horizontal="center" vertical="center"/>
    </xf>
    <xf numFmtId="0" fontId="38" fillId="0" borderId="24" xfId="44" applyFont="1" applyBorder="1" applyAlignment="1">
      <alignment horizontal="center" vertical="center" wrapText="1"/>
    </xf>
    <xf numFmtId="0" fontId="38" fillId="0" borderId="26" xfId="44" applyFont="1" applyBorder="1" applyAlignment="1">
      <alignment horizontal="center"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omma" xfId="47" builtinId="3"/>
    <cellStyle name="Comma 2" xfId="45"/>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3"/>
    <cellStyle name="Normal 3" xfId="44"/>
    <cellStyle name="Normal 9" xfId="46"/>
    <cellStyle name="Normal_Sheet3"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4"/>
  <sheetViews>
    <sheetView topLeftCell="A10" zoomScaleNormal="100" workbookViewId="0">
      <selection activeCell="C23" sqref="C23"/>
    </sheetView>
  </sheetViews>
  <sheetFormatPr defaultColWidth="9" defaultRowHeight="13.8"/>
  <cols>
    <col min="1" max="1" width="9" style="47"/>
    <col min="2" max="2" width="5.5546875" style="47" customWidth="1"/>
    <col min="3" max="3" width="35.21875" style="47" customWidth="1"/>
    <col min="4" max="5" width="12.21875" style="47" customWidth="1"/>
    <col min="6" max="6" width="12" style="47" customWidth="1"/>
    <col min="7" max="7" width="12.109375" style="47" customWidth="1"/>
    <col min="8" max="8" width="13.88671875" style="47" customWidth="1"/>
    <col min="9" max="9" width="11.88671875" style="47" customWidth="1"/>
    <col min="10" max="10" width="11.77734375" style="47" customWidth="1"/>
    <col min="11" max="11" width="10.33203125" style="47" customWidth="1"/>
    <col min="12" max="13" width="9" style="47"/>
    <col min="14" max="14" width="10.109375" style="47" bestFit="1" customWidth="1"/>
    <col min="15" max="16384" width="9" style="47"/>
  </cols>
  <sheetData>
    <row r="1" spans="2:14" s="49" customFormat="1">
      <c r="E1" s="317" t="s">
        <v>100</v>
      </c>
      <c r="F1" s="317"/>
      <c r="G1" s="317"/>
    </row>
    <row r="2" spans="2:14" s="49" customFormat="1" ht="16.8">
      <c r="B2" s="318" t="s">
        <v>382</v>
      </c>
      <c r="C2" s="318"/>
      <c r="D2" s="318"/>
      <c r="E2" s="318"/>
      <c r="F2" s="318"/>
      <c r="G2" s="318"/>
    </row>
    <row r="3" spans="2:14" s="49" customFormat="1" ht="17.25" customHeight="1">
      <c r="B3" s="319" t="s">
        <v>380</v>
      </c>
      <c r="C3" s="319"/>
      <c r="D3" s="319"/>
      <c r="E3" s="319"/>
      <c r="F3" s="319"/>
      <c r="G3" s="319"/>
    </row>
    <row r="4" spans="2:14" ht="15.6">
      <c r="B4" s="49"/>
      <c r="C4" s="49"/>
      <c r="D4" s="320" t="s">
        <v>97</v>
      </c>
      <c r="E4" s="320"/>
      <c r="F4" s="320"/>
      <c r="G4" s="320"/>
      <c r="H4" s="49"/>
    </row>
    <row r="5" spans="2:14" ht="21.75" customHeight="1">
      <c r="B5" s="321" t="s">
        <v>0</v>
      </c>
      <c r="C5" s="321" t="s">
        <v>80</v>
      </c>
      <c r="D5" s="322" t="s">
        <v>99</v>
      </c>
      <c r="E5" s="322" t="s">
        <v>98</v>
      </c>
      <c r="F5" s="321" t="s">
        <v>94</v>
      </c>
      <c r="G5" s="321"/>
      <c r="H5" s="291"/>
      <c r="I5" s="95"/>
      <c r="J5" s="95"/>
      <c r="K5" s="95"/>
      <c r="L5" s="95"/>
      <c r="M5" s="95"/>
      <c r="N5" s="95"/>
    </row>
    <row r="6" spans="2:14" ht="39" customHeight="1">
      <c r="B6" s="321"/>
      <c r="C6" s="321"/>
      <c r="D6" s="322"/>
      <c r="E6" s="321"/>
      <c r="F6" s="131" t="s">
        <v>95</v>
      </c>
      <c r="G6" s="144" t="s">
        <v>96</v>
      </c>
      <c r="H6" s="143"/>
      <c r="I6" s="117"/>
      <c r="J6" s="95"/>
      <c r="M6" s="95"/>
      <c r="N6" s="95"/>
    </row>
    <row r="7" spans="2:14" s="33" customFormat="1" ht="31.5" customHeight="1">
      <c r="B7" s="110" t="s">
        <v>4</v>
      </c>
      <c r="C7" s="111" t="s">
        <v>85</v>
      </c>
      <c r="D7" s="112">
        <f>D9+D10+D11+D12+D13+D14+D15+D16+D17</f>
        <v>23050000</v>
      </c>
      <c r="E7" s="112">
        <f t="shared" ref="E7:G7" si="0">E9+E10+E11+E12+E13+E14+E15+E16+E17</f>
        <v>23050000</v>
      </c>
      <c r="F7" s="112">
        <f t="shared" si="0"/>
        <v>21024000</v>
      </c>
      <c r="G7" s="112">
        <f t="shared" si="0"/>
        <v>2026000</v>
      </c>
      <c r="H7" s="150"/>
      <c r="I7" s="117"/>
      <c r="J7" s="95"/>
      <c r="K7" s="68"/>
      <c r="L7" s="47"/>
      <c r="M7" s="47"/>
      <c r="N7" s="117"/>
    </row>
    <row r="8" spans="2:14" s="33" customFormat="1" ht="31.5" customHeight="1">
      <c r="B8" s="110"/>
      <c r="C8" s="111" t="s">
        <v>182</v>
      </c>
      <c r="D8" s="118">
        <v>18950000</v>
      </c>
      <c r="E8" s="118">
        <f>D8</f>
        <v>18950000</v>
      </c>
      <c r="F8" s="292">
        <f>E8-G8</f>
        <v>17641900</v>
      </c>
      <c r="G8" s="292">
        <v>1308100</v>
      </c>
      <c r="H8" s="194"/>
      <c r="I8" s="117"/>
      <c r="J8" s="93"/>
      <c r="K8" s="93"/>
      <c r="M8" s="47"/>
      <c r="N8" s="117"/>
    </row>
    <row r="9" spans="2:14" ht="31.5" customHeight="1">
      <c r="B9" s="60">
        <v>1</v>
      </c>
      <c r="C9" s="109" t="s">
        <v>86</v>
      </c>
      <c r="D9" s="108">
        <v>6430000</v>
      </c>
      <c r="E9" s="108">
        <f>D9</f>
        <v>6430000</v>
      </c>
      <c r="F9" s="108">
        <f>E9-G9</f>
        <v>5196300</v>
      </c>
      <c r="G9" s="108">
        <f>2026000-G11-G14-G15</f>
        <v>1233700</v>
      </c>
      <c r="H9" s="193"/>
      <c r="I9" s="96"/>
      <c r="J9" s="93"/>
      <c r="K9" s="93"/>
      <c r="L9" s="33"/>
      <c r="M9" s="33"/>
      <c r="N9" s="95"/>
    </row>
    <row r="10" spans="2:14" ht="31.5" customHeight="1">
      <c r="B10" s="60">
        <v>2</v>
      </c>
      <c r="C10" s="109" t="s">
        <v>87</v>
      </c>
      <c r="D10" s="108">
        <v>3200000</v>
      </c>
      <c r="E10" s="108">
        <f t="shared" ref="E10:E11" si="1">D10</f>
        <v>3200000</v>
      </c>
      <c r="F10" s="108">
        <f t="shared" ref="F10:F17" si="2">E10-G10</f>
        <v>3200000</v>
      </c>
      <c r="G10" s="108"/>
      <c r="H10" s="193"/>
      <c r="I10" s="96"/>
      <c r="J10" s="102"/>
      <c r="K10" s="33"/>
      <c r="L10" s="33"/>
      <c r="M10" s="33"/>
      <c r="N10" s="95"/>
    </row>
    <row r="11" spans="2:14" ht="31.5" customHeight="1">
      <c r="B11" s="60">
        <v>3</v>
      </c>
      <c r="C11" s="125" t="s">
        <v>88</v>
      </c>
      <c r="D11" s="108">
        <v>1550000</v>
      </c>
      <c r="E11" s="108">
        <f t="shared" si="1"/>
        <v>1550000</v>
      </c>
      <c r="F11" s="108">
        <f t="shared" si="2"/>
        <v>1395000</v>
      </c>
      <c r="G11" s="108">
        <v>155000</v>
      </c>
      <c r="H11" s="193"/>
      <c r="I11" s="96"/>
      <c r="J11" s="145"/>
      <c r="N11" s="95"/>
    </row>
    <row r="12" spans="2:14" ht="31.5" customHeight="1">
      <c r="B12" s="60">
        <v>4</v>
      </c>
      <c r="C12" s="109" t="s">
        <v>375</v>
      </c>
      <c r="D12" s="108">
        <v>5000000</v>
      </c>
      <c r="E12" s="108">
        <f>D12</f>
        <v>5000000</v>
      </c>
      <c r="F12" s="108">
        <f t="shared" si="2"/>
        <v>5000000</v>
      </c>
      <c r="G12" s="108"/>
      <c r="H12" s="193"/>
      <c r="I12" s="96"/>
      <c r="J12" s="145"/>
      <c r="N12" s="95"/>
    </row>
    <row r="13" spans="2:14" ht="31.5" customHeight="1">
      <c r="B13" s="60">
        <v>5</v>
      </c>
      <c r="C13" s="109" t="s">
        <v>89</v>
      </c>
      <c r="D13" s="108">
        <v>300000</v>
      </c>
      <c r="E13" s="108">
        <f>D13</f>
        <v>300000</v>
      </c>
      <c r="F13" s="108">
        <f t="shared" si="2"/>
        <v>300000</v>
      </c>
      <c r="G13" s="108"/>
      <c r="H13" s="193"/>
      <c r="I13" s="96"/>
      <c r="J13" s="145"/>
      <c r="N13" s="95"/>
    </row>
    <row r="14" spans="2:14" ht="31.5" customHeight="1">
      <c r="B14" s="60">
        <v>6</v>
      </c>
      <c r="C14" s="109" t="s">
        <v>90</v>
      </c>
      <c r="D14" s="108">
        <v>1250000</v>
      </c>
      <c r="E14" s="108">
        <f t="shared" ref="E14:E17" si="3">D14</f>
        <v>1250000</v>
      </c>
      <c r="F14" s="108">
        <f t="shared" si="2"/>
        <v>632700</v>
      </c>
      <c r="G14" s="108">
        <v>617300</v>
      </c>
      <c r="H14" s="193"/>
      <c r="I14" s="96"/>
      <c r="J14" s="145"/>
      <c r="K14" s="68"/>
      <c r="N14" s="95"/>
    </row>
    <row r="15" spans="2:14" ht="31.5" customHeight="1">
      <c r="B15" s="60">
        <v>7</v>
      </c>
      <c r="C15" s="109" t="s">
        <v>195</v>
      </c>
      <c r="D15" s="108">
        <v>20000</v>
      </c>
      <c r="E15" s="108">
        <f t="shared" si="3"/>
        <v>20000</v>
      </c>
      <c r="F15" s="108">
        <f t="shared" si="2"/>
        <v>0</v>
      </c>
      <c r="G15" s="108">
        <v>20000</v>
      </c>
      <c r="H15" s="193"/>
      <c r="I15" s="96"/>
      <c r="J15" s="145"/>
      <c r="N15" s="95"/>
    </row>
    <row r="16" spans="2:14" ht="33" customHeight="1">
      <c r="B16" s="60">
        <v>8</v>
      </c>
      <c r="C16" s="107" t="s">
        <v>316</v>
      </c>
      <c r="D16" s="108">
        <v>50000</v>
      </c>
      <c r="E16" s="108">
        <f t="shared" si="3"/>
        <v>50000</v>
      </c>
      <c r="F16" s="108">
        <f t="shared" si="2"/>
        <v>50000</v>
      </c>
      <c r="G16" s="108"/>
      <c r="H16" s="193"/>
      <c r="I16" s="96"/>
      <c r="J16" s="145"/>
      <c r="N16" s="95"/>
    </row>
    <row r="17" spans="2:14" ht="27.6" customHeight="1">
      <c r="B17" s="60">
        <v>9</v>
      </c>
      <c r="C17" s="109" t="s">
        <v>304</v>
      </c>
      <c r="D17" s="108">
        <v>5250000</v>
      </c>
      <c r="E17" s="108">
        <f t="shared" si="3"/>
        <v>5250000</v>
      </c>
      <c r="F17" s="108">
        <f t="shared" si="2"/>
        <v>5250000</v>
      </c>
      <c r="G17" s="108"/>
      <c r="H17" s="193"/>
      <c r="I17" s="96"/>
      <c r="J17" s="145"/>
      <c r="N17" s="95"/>
    </row>
    <row r="18" spans="2:14" s="33" customFormat="1" ht="31.5" customHeight="1">
      <c r="B18" s="110" t="s">
        <v>5</v>
      </c>
      <c r="C18" s="111" t="s">
        <v>91</v>
      </c>
      <c r="D18" s="112">
        <f>D19+D20</f>
        <v>673505000</v>
      </c>
      <c r="E18" s="112">
        <f t="shared" ref="E18:G18" si="4">E19+E20</f>
        <v>673505000</v>
      </c>
      <c r="F18" s="112">
        <f t="shared" si="4"/>
        <v>565635842</v>
      </c>
      <c r="G18" s="112">
        <f t="shared" si="4"/>
        <v>107869158</v>
      </c>
      <c r="H18" s="52"/>
      <c r="I18" s="95"/>
      <c r="J18" s="145"/>
      <c r="K18" s="47"/>
      <c r="L18" s="47"/>
      <c r="M18" s="47"/>
    </row>
    <row r="19" spans="2:14" s="33" customFormat="1" ht="31.5" customHeight="1">
      <c r="B19" s="60">
        <v>1</v>
      </c>
      <c r="C19" s="109" t="s">
        <v>92</v>
      </c>
      <c r="D19" s="108">
        <v>626311000</v>
      </c>
      <c r="E19" s="108">
        <f>D19</f>
        <v>626311000</v>
      </c>
      <c r="F19" s="108">
        <f>E19-G19</f>
        <v>521587842</v>
      </c>
      <c r="G19" s="108">
        <v>104723158</v>
      </c>
      <c r="H19" s="52"/>
      <c r="I19" s="96"/>
      <c r="J19" s="145"/>
      <c r="K19" s="68"/>
      <c r="L19" s="47"/>
      <c r="M19" s="47"/>
    </row>
    <row r="20" spans="2:14" s="33" customFormat="1" ht="30" customHeight="1">
      <c r="B20" s="60">
        <v>3</v>
      </c>
      <c r="C20" s="109" t="s">
        <v>93</v>
      </c>
      <c r="D20" s="108">
        <v>47194000</v>
      </c>
      <c r="E20" s="108">
        <f>D20</f>
        <v>47194000</v>
      </c>
      <c r="F20" s="108">
        <f>E20-G20</f>
        <v>44048000</v>
      </c>
      <c r="G20" s="75">
        <v>3146000</v>
      </c>
      <c r="H20" s="151"/>
      <c r="I20" s="102"/>
      <c r="J20" s="102"/>
    </row>
    <row r="21" spans="2:14" s="33" customFormat="1" ht="26.25" customHeight="1">
      <c r="B21" s="111"/>
      <c r="C21" s="110" t="s">
        <v>84</v>
      </c>
      <c r="D21" s="112">
        <f>D7+D18</f>
        <v>696555000</v>
      </c>
      <c r="E21" s="112">
        <f t="shared" ref="E21:G21" si="5">E7+E18</f>
        <v>696555000</v>
      </c>
      <c r="F21" s="112">
        <f t="shared" si="5"/>
        <v>586659842</v>
      </c>
      <c r="G21" s="112">
        <f t="shared" si="5"/>
        <v>109895158</v>
      </c>
      <c r="H21" s="146"/>
      <c r="I21" s="117"/>
      <c r="J21" s="102"/>
    </row>
    <row r="22" spans="2:14" s="33" customFormat="1" ht="26.25" customHeight="1">
      <c r="B22" s="89"/>
      <c r="C22" s="90"/>
      <c r="D22" s="91"/>
      <c r="E22" s="91"/>
      <c r="F22" s="91"/>
      <c r="G22" s="91"/>
      <c r="H22" s="55"/>
    </row>
    <row r="23" spans="2:14" s="33" customFormat="1" ht="26.25" customHeight="1">
      <c r="B23" s="89"/>
      <c r="C23" s="92"/>
      <c r="D23" s="93"/>
      <c r="E23" s="93"/>
      <c r="F23" s="93"/>
      <c r="G23" s="93"/>
      <c r="H23" s="82"/>
    </row>
    <row r="24" spans="2:14" s="33" customFormat="1" ht="26.25" customHeight="1">
      <c r="B24" s="89"/>
      <c r="C24" s="92"/>
      <c r="D24" s="93"/>
      <c r="E24" s="93"/>
      <c r="F24" s="93"/>
      <c r="G24" s="93"/>
      <c r="H24" s="83"/>
    </row>
    <row r="25" spans="2:14" s="33" customFormat="1" ht="26.25" customHeight="1">
      <c r="B25" s="89"/>
      <c r="C25" s="92"/>
      <c r="D25" s="93"/>
      <c r="E25" s="93"/>
      <c r="F25" s="93"/>
      <c r="G25" s="93"/>
      <c r="H25" s="82"/>
    </row>
    <row r="26" spans="2:14" s="33" customFormat="1" ht="26.25" customHeight="1">
      <c r="B26" s="89"/>
      <c r="C26" s="92"/>
      <c r="D26" s="93"/>
      <c r="E26" s="93"/>
      <c r="F26" s="93"/>
      <c r="G26" s="93"/>
      <c r="H26" s="82"/>
    </row>
    <row r="27" spans="2:14" s="33" customFormat="1" ht="26.25" customHeight="1">
      <c r="B27" s="89"/>
      <c r="C27" s="92"/>
      <c r="D27" s="93"/>
      <c r="E27" s="93"/>
      <c r="F27" s="93"/>
      <c r="G27" s="93"/>
      <c r="H27" s="82"/>
    </row>
    <row r="28" spans="2:14" s="33" customFormat="1" ht="26.25" customHeight="1">
      <c r="B28" s="89"/>
      <c r="C28" s="92"/>
      <c r="D28" s="93"/>
      <c r="E28" s="93"/>
      <c r="F28" s="93"/>
      <c r="G28" s="93"/>
      <c r="H28" s="82"/>
    </row>
    <row r="29" spans="2:14" s="33" customFormat="1" ht="26.25" customHeight="1">
      <c r="B29" s="89"/>
      <c r="C29" s="92"/>
      <c r="D29" s="93"/>
      <c r="E29" s="93"/>
      <c r="F29" s="93"/>
      <c r="G29" s="93"/>
      <c r="H29" s="82"/>
    </row>
    <row r="30" spans="2:14" s="33" customFormat="1" ht="26.25" customHeight="1">
      <c r="B30" s="89"/>
      <c r="C30" s="92"/>
      <c r="D30" s="93"/>
      <c r="E30" s="93"/>
      <c r="F30" s="93"/>
      <c r="G30" s="93"/>
      <c r="H30" s="82"/>
    </row>
    <row r="31" spans="2:14" ht="16.8">
      <c r="C31" s="67"/>
      <c r="D31" s="54"/>
      <c r="E31" s="54"/>
      <c r="F31" s="54"/>
      <c r="G31" s="54"/>
      <c r="H31" s="68"/>
    </row>
    <row r="32" spans="2:14" ht="15">
      <c r="B32" s="77"/>
      <c r="C32" s="72"/>
      <c r="D32" s="78"/>
      <c r="E32" s="78"/>
      <c r="F32" s="68"/>
      <c r="H32" s="68"/>
    </row>
    <row r="33" spans="3:8" ht="16.8">
      <c r="C33" s="67"/>
      <c r="D33" s="54"/>
      <c r="E33" s="68"/>
      <c r="H33" s="68"/>
    </row>
    <row r="34" spans="3:8">
      <c r="C34" s="67"/>
      <c r="D34" s="68"/>
    </row>
  </sheetData>
  <mergeCells count="9">
    <mergeCell ref="E1:G1"/>
    <mergeCell ref="B2:G2"/>
    <mergeCell ref="B3:G3"/>
    <mergeCell ref="D4:G4"/>
    <mergeCell ref="F5:G5"/>
    <mergeCell ref="B5:B6"/>
    <mergeCell ref="C5:C6"/>
    <mergeCell ref="D5:D6"/>
    <mergeCell ref="E5:E6"/>
  </mergeCells>
  <pageMargins left="0.39370078740157483" right="0.23622047244094491" top="0.35433070866141736" bottom="0.59055118110236227" header="0.27559055118110237" footer="0.51181102362204722"/>
  <pageSetup paperSize="9" scale="85" firstPageNumber="42949631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F15" sqref="F15"/>
    </sheetView>
  </sheetViews>
  <sheetFormatPr defaultRowHeight="13.8"/>
  <cols>
    <col min="1" max="1" width="4.88671875" style="47" customWidth="1"/>
    <col min="2" max="2" width="27" style="47" customWidth="1"/>
    <col min="3" max="3" width="12.21875" style="47" customWidth="1"/>
    <col min="4" max="4" width="31.21875" style="47" customWidth="1"/>
    <col min="5" max="5" width="9.33203125" style="47" bestFit="1" customWidth="1"/>
    <col min="6" max="16384" width="8.88671875" style="47"/>
  </cols>
  <sheetData>
    <row r="1" spans="1:7" ht="14.4">
      <c r="A1" s="132"/>
      <c r="B1" s="132"/>
      <c r="C1" s="132"/>
      <c r="D1" s="133" t="s">
        <v>395</v>
      </c>
    </row>
    <row r="2" spans="1:7" s="49" customFormat="1" ht="17.399999999999999">
      <c r="A2" s="388" t="s">
        <v>333</v>
      </c>
      <c r="B2" s="388"/>
      <c r="C2" s="388"/>
      <c r="D2" s="388"/>
    </row>
    <row r="3" spans="1:7" s="49" customFormat="1" ht="17.25" customHeight="1">
      <c r="A3" s="319" t="s">
        <v>380</v>
      </c>
      <c r="B3" s="319"/>
      <c r="C3" s="319"/>
      <c r="D3" s="319"/>
      <c r="E3" s="56"/>
      <c r="F3" s="56"/>
      <c r="G3" s="56"/>
    </row>
    <row r="4" spans="1:7" s="49" customFormat="1" ht="15.6">
      <c r="A4" s="134"/>
      <c r="B4" s="134"/>
      <c r="C4" s="134"/>
      <c r="D4" s="135" t="s">
        <v>216</v>
      </c>
    </row>
    <row r="5" spans="1:7" s="49" customFormat="1" ht="16.5" customHeight="1">
      <c r="A5" s="389" t="s">
        <v>0</v>
      </c>
      <c r="B5" s="389" t="s">
        <v>80</v>
      </c>
      <c r="C5" s="391" t="s">
        <v>127</v>
      </c>
      <c r="D5" s="389" t="s">
        <v>128</v>
      </c>
    </row>
    <row r="6" spans="1:7" s="49" customFormat="1" ht="28.5" customHeight="1">
      <c r="A6" s="390"/>
      <c r="B6" s="390"/>
      <c r="C6" s="392"/>
      <c r="D6" s="390"/>
    </row>
    <row r="7" spans="1:7" s="152" customFormat="1" ht="30.6" customHeight="1">
      <c r="A7" s="136">
        <v>1</v>
      </c>
      <c r="B7" s="138" t="s">
        <v>135</v>
      </c>
      <c r="C7" s="137">
        <v>300000</v>
      </c>
      <c r="D7" s="139" t="s">
        <v>334</v>
      </c>
      <c r="E7" s="157"/>
    </row>
    <row r="8" spans="1:7" s="33" customFormat="1" ht="24.6" customHeight="1">
      <c r="A8" s="136"/>
      <c r="B8" s="138"/>
      <c r="C8" s="137"/>
      <c r="D8" s="139"/>
      <c r="E8" s="66"/>
    </row>
    <row r="9" spans="1:7" s="33" customFormat="1" ht="22.2" customHeight="1">
      <c r="A9" s="136"/>
      <c r="B9" s="140" t="s">
        <v>84</v>
      </c>
      <c r="C9" s="141">
        <f>SUM(C7:C8)</f>
        <v>300000</v>
      </c>
      <c r="D9" s="141"/>
      <c r="E9" s="66"/>
    </row>
    <row r="10" spans="1:7" ht="21" customHeight="1">
      <c r="A10" s="142"/>
      <c r="C10" s="88"/>
      <c r="E10" s="48"/>
    </row>
    <row r="11" spans="1:7">
      <c r="C11" s="68"/>
      <c r="D11" s="49"/>
    </row>
    <row r="12" spans="1:7">
      <c r="C12" s="68"/>
    </row>
    <row r="13" spans="1:7">
      <c r="C13" s="68"/>
    </row>
  </sheetData>
  <mergeCells count="6">
    <mergeCell ref="A2:D2"/>
    <mergeCell ref="A3:D3"/>
    <mergeCell ref="A5:A6"/>
    <mergeCell ref="B5:B6"/>
    <mergeCell ref="C5:C6"/>
    <mergeCell ref="D5:D6"/>
  </mergeCells>
  <pageMargins left="0.59055118110236227" right="0.19685039370078741" top="0.35433070866141736" bottom="0.27559055118110237" header="0.15748031496062992" footer="0.23622047244094491"/>
  <pageSetup paperSize="9" scale="90" firstPageNumber="42949631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D12" sqref="D12"/>
    </sheetView>
  </sheetViews>
  <sheetFormatPr defaultColWidth="9" defaultRowHeight="13.8"/>
  <cols>
    <col min="1" max="1" width="5.109375" style="49" customWidth="1"/>
    <col min="2" max="2" width="36.109375" style="49" customWidth="1"/>
    <col min="3" max="3" width="12.21875" style="49" customWidth="1"/>
    <col min="4" max="4" width="12.44140625" style="49" customWidth="1"/>
    <col min="5" max="5" width="11.6640625" style="76" customWidth="1"/>
    <col min="6" max="6" width="11.44140625" style="76" customWidth="1"/>
    <col min="7" max="8" width="12.88671875" style="76" customWidth="1"/>
    <col min="9" max="9" width="13.33203125" style="49" customWidth="1"/>
    <col min="10" max="10" width="13.21875" style="49" customWidth="1"/>
    <col min="11" max="11" width="18.109375" style="49" customWidth="1"/>
    <col min="12" max="12" width="11.109375" style="49" bestFit="1" customWidth="1"/>
    <col min="13" max="16384" width="9" style="49"/>
  </cols>
  <sheetData>
    <row r="1" spans="1:14">
      <c r="C1" s="317" t="s">
        <v>400</v>
      </c>
      <c r="D1" s="317"/>
      <c r="E1" s="317"/>
      <c r="F1" s="317"/>
      <c r="G1" s="293"/>
      <c r="H1" s="293"/>
    </row>
    <row r="2" spans="1:14" ht="16.8">
      <c r="A2" s="318" t="s">
        <v>374</v>
      </c>
      <c r="B2" s="318"/>
      <c r="C2" s="318"/>
      <c r="D2" s="318"/>
      <c r="E2" s="318"/>
      <c r="F2" s="318"/>
      <c r="G2" s="294"/>
      <c r="H2" s="294"/>
    </row>
    <row r="3" spans="1:14" ht="17.25" customHeight="1">
      <c r="A3" s="319" t="s">
        <v>381</v>
      </c>
      <c r="B3" s="319"/>
      <c r="C3" s="319"/>
      <c r="D3" s="319"/>
      <c r="E3" s="319"/>
      <c r="F3" s="319"/>
      <c r="G3" s="295"/>
      <c r="H3" s="295"/>
    </row>
    <row r="4" spans="1:14" ht="15.6">
      <c r="C4" s="320" t="s">
        <v>97</v>
      </c>
      <c r="D4" s="320"/>
      <c r="E4" s="320"/>
      <c r="F4" s="320"/>
      <c r="G4" s="296"/>
      <c r="H4" s="296"/>
    </row>
    <row r="5" spans="1:14" ht="21.75" customHeight="1">
      <c r="A5" s="321" t="s">
        <v>0</v>
      </c>
      <c r="B5" s="323" t="s">
        <v>80</v>
      </c>
      <c r="C5" s="322" t="s">
        <v>99</v>
      </c>
      <c r="D5" s="322" t="s">
        <v>101</v>
      </c>
      <c r="E5" s="324" t="s">
        <v>94</v>
      </c>
      <c r="F5" s="324"/>
      <c r="G5" s="168"/>
      <c r="H5" s="168"/>
    </row>
    <row r="6" spans="1:14" ht="39" customHeight="1">
      <c r="A6" s="321"/>
      <c r="B6" s="323"/>
      <c r="C6" s="322"/>
      <c r="D6" s="321"/>
      <c r="E6" s="297" t="s">
        <v>95</v>
      </c>
      <c r="F6" s="297" t="s">
        <v>96</v>
      </c>
      <c r="G6" s="169"/>
      <c r="H6" s="169"/>
    </row>
    <row r="7" spans="1:14" s="53" customFormat="1" ht="27" customHeight="1">
      <c r="A7" s="119" t="s">
        <v>4</v>
      </c>
      <c r="B7" s="120" t="s">
        <v>102</v>
      </c>
      <c r="C7" s="73">
        <f>C8+C9+C10</f>
        <v>14228000</v>
      </c>
      <c r="D7" s="73">
        <f>D8+D9+D10</f>
        <v>14228000</v>
      </c>
      <c r="E7" s="204">
        <f>E8+E9+E10</f>
        <v>14228000</v>
      </c>
      <c r="F7" s="73">
        <f>F8+F9</f>
        <v>0</v>
      </c>
      <c r="G7" s="83"/>
      <c r="H7" s="83"/>
      <c r="I7" s="55"/>
    </row>
    <row r="8" spans="1:14" ht="27" customHeight="1">
      <c r="A8" s="74"/>
      <c r="B8" s="50" t="s">
        <v>103</v>
      </c>
      <c r="C8" s="75">
        <f>D8</f>
        <v>9478000</v>
      </c>
      <c r="D8" s="75">
        <f>E8</f>
        <v>9478000</v>
      </c>
      <c r="E8" s="75">
        <v>9478000</v>
      </c>
      <c r="F8" s="148"/>
      <c r="G8" s="147"/>
      <c r="H8" s="147"/>
      <c r="J8" s="85"/>
    </row>
    <row r="9" spans="1:14" ht="27" customHeight="1">
      <c r="A9" s="74"/>
      <c r="B9" s="50" t="s">
        <v>104</v>
      </c>
      <c r="C9" s="75">
        <f>D9</f>
        <v>4250000</v>
      </c>
      <c r="D9" s="75">
        <f>E9</f>
        <v>4250000</v>
      </c>
      <c r="E9" s="75">
        <v>4250000</v>
      </c>
      <c r="F9" s="148"/>
      <c r="G9" s="147"/>
      <c r="H9" s="147"/>
      <c r="I9" s="51"/>
      <c r="J9" s="85"/>
    </row>
    <row r="10" spans="1:14" ht="27" customHeight="1">
      <c r="A10" s="74"/>
      <c r="B10" s="50" t="s">
        <v>105</v>
      </c>
      <c r="C10" s="75">
        <v>500000</v>
      </c>
      <c r="D10" s="75">
        <f>E10</f>
        <v>500000</v>
      </c>
      <c r="E10" s="75">
        <v>500000</v>
      </c>
      <c r="F10" s="148"/>
      <c r="G10" s="147"/>
      <c r="H10" s="147"/>
      <c r="I10" s="51"/>
      <c r="J10" s="85"/>
    </row>
    <row r="11" spans="1:14" s="53" customFormat="1" ht="27" customHeight="1">
      <c r="A11" s="119" t="s">
        <v>5</v>
      </c>
      <c r="B11" s="120" t="s">
        <v>106</v>
      </c>
      <c r="C11" s="73">
        <f t="shared" ref="C11" si="0">C12+C13+C14+C17+C18+C19+C20+C21+C22+C23+C26</f>
        <v>618128000</v>
      </c>
      <c r="D11" s="73">
        <f>D12+D13+D14+D17+D18+D19+D20+D21+D22+D23+D26</f>
        <v>618128000</v>
      </c>
      <c r="E11" s="73">
        <f t="shared" ref="E11:F11" si="1">E12+E13+E14+E17+E18+E19+E20+E21+E22+E23+E26</f>
        <v>513735000</v>
      </c>
      <c r="F11" s="73">
        <f t="shared" si="1"/>
        <v>104393000</v>
      </c>
      <c r="G11" s="151"/>
      <c r="H11" s="83"/>
      <c r="I11" s="83"/>
      <c r="J11" s="83"/>
      <c r="K11" s="83"/>
      <c r="L11" s="82"/>
      <c r="M11" s="82"/>
      <c r="N11" s="82"/>
    </row>
    <row r="12" spans="1:14" ht="27" customHeight="1">
      <c r="A12" s="74">
        <v>1</v>
      </c>
      <c r="B12" s="50" t="s">
        <v>107</v>
      </c>
      <c r="C12" s="75">
        <f>D12</f>
        <v>3575900</v>
      </c>
      <c r="D12" s="75">
        <f>E12+F12</f>
        <v>3575900</v>
      </c>
      <c r="E12" s="129">
        <v>3104000</v>
      </c>
      <c r="F12" s="75">
        <v>471900</v>
      </c>
      <c r="G12" s="86"/>
      <c r="H12" s="85"/>
      <c r="I12" s="170"/>
      <c r="J12" s="83"/>
      <c r="K12" s="85"/>
      <c r="L12" s="84"/>
      <c r="M12" s="301"/>
      <c r="N12" s="84"/>
    </row>
    <row r="13" spans="1:14" ht="27" customHeight="1">
      <c r="A13" s="74">
        <v>2</v>
      </c>
      <c r="B13" s="50" t="s">
        <v>108</v>
      </c>
      <c r="C13" s="75">
        <f t="shared" ref="C13:C27" si="2">D13</f>
        <v>1260000</v>
      </c>
      <c r="D13" s="75">
        <f t="shared" ref="D13:D27" si="3">E13+F13</f>
        <v>1260000</v>
      </c>
      <c r="E13" s="129">
        <v>1000000</v>
      </c>
      <c r="F13" s="75">
        <v>260000</v>
      </c>
      <c r="G13" s="86"/>
      <c r="H13" s="85"/>
      <c r="I13" s="85"/>
      <c r="J13" s="83"/>
      <c r="K13" s="85"/>
      <c r="L13" s="84"/>
      <c r="M13" s="301"/>
      <c r="N13" s="84"/>
    </row>
    <row r="14" spans="1:14" ht="27" customHeight="1">
      <c r="A14" s="74">
        <v>3</v>
      </c>
      <c r="B14" s="50" t="s">
        <v>109</v>
      </c>
      <c r="C14" s="75">
        <f t="shared" si="2"/>
        <v>420682342</v>
      </c>
      <c r="D14" s="75">
        <f t="shared" si="3"/>
        <v>420682342</v>
      </c>
      <c r="E14" s="129">
        <f>E15+E16</f>
        <v>420032342</v>
      </c>
      <c r="F14" s="75">
        <f>F15+F16</f>
        <v>650000</v>
      </c>
      <c r="G14" s="86"/>
      <c r="H14" s="85"/>
      <c r="I14" s="85"/>
      <c r="J14" s="83"/>
      <c r="K14" s="85"/>
      <c r="L14" s="84"/>
      <c r="M14" s="301"/>
      <c r="N14" s="84"/>
    </row>
    <row r="15" spans="1:14" ht="27" customHeight="1">
      <c r="A15" s="74"/>
      <c r="B15" s="50" t="s">
        <v>110</v>
      </c>
      <c r="C15" s="75">
        <f t="shared" si="2"/>
        <v>419594260</v>
      </c>
      <c r="D15" s="75">
        <f>E15+F15</f>
        <v>419594260</v>
      </c>
      <c r="E15" s="129">
        <v>418944260</v>
      </c>
      <c r="F15" s="75">
        <v>650000</v>
      </c>
      <c r="G15" s="86"/>
      <c r="H15" s="191"/>
      <c r="I15" s="191"/>
      <c r="J15" s="83"/>
      <c r="K15" s="85"/>
      <c r="L15" s="84"/>
      <c r="M15" s="301"/>
      <c r="N15" s="84"/>
    </row>
    <row r="16" spans="1:14" ht="27" customHeight="1">
      <c r="A16" s="74"/>
      <c r="B16" s="50" t="s">
        <v>283</v>
      </c>
      <c r="C16" s="75">
        <f t="shared" si="2"/>
        <v>1088082</v>
      </c>
      <c r="D16" s="75">
        <f t="shared" si="3"/>
        <v>1088082</v>
      </c>
      <c r="E16" s="129">
        <v>1088082</v>
      </c>
      <c r="F16" s="149"/>
      <c r="G16" s="155"/>
      <c r="H16" s="156"/>
      <c r="I16" s="85"/>
      <c r="J16" s="83"/>
      <c r="K16" s="85"/>
      <c r="L16" s="84"/>
      <c r="M16" s="301"/>
      <c r="N16" s="84"/>
    </row>
    <row r="17" spans="1:14" ht="27" customHeight="1">
      <c r="A17" s="74">
        <v>4</v>
      </c>
      <c r="B17" s="50" t="s">
        <v>111</v>
      </c>
      <c r="C17" s="75">
        <f t="shared" si="2"/>
        <v>1590455</v>
      </c>
      <c r="D17" s="75">
        <f t="shared" si="3"/>
        <v>1590455</v>
      </c>
      <c r="E17" s="129">
        <v>906555</v>
      </c>
      <c r="F17" s="75">
        <v>683900</v>
      </c>
      <c r="G17" s="86"/>
      <c r="H17" s="156"/>
      <c r="I17" s="85"/>
      <c r="J17" s="83"/>
      <c r="K17" s="87"/>
      <c r="L17" s="87"/>
      <c r="M17" s="301"/>
      <c r="N17" s="84"/>
    </row>
    <row r="18" spans="1:14" ht="27" customHeight="1">
      <c r="A18" s="74">
        <v>5</v>
      </c>
      <c r="B18" s="50" t="s">
        <v>112</v>
      </c>
      <c r="C18" s="75">
        <f t="shared" si="2"/>
        <v>1321936</v>
      </c>
      <c r="D18" s="75">
        <f t="shared" si="3"/>
        <v>1321936</v>
      </c>
      <c r="E18" s="129">
        <v>1142536</v>
      </c>
      <c r="F18" s="75">
        <v>179400</v>
      </c>
      <c r="G18" s="86"/>
      <c r="H18" s="156"/>
      <c r="I18" s="85"/>
      <c r="J18" s="83"/>
      <c r="K18" s="87"/>
      <c r="L18" s="87"/>
      <c r="M18" s="301"/>
      <c r="N18" s="84"/>
    </row>
    <row r="19" spans="1:14" ht="27" customHeight="1">
      <c r="A19" s="74">
        <v>6</v>
      </c>
      <c r="B19" s="50" t="s">
        <v>113</v>
      </c>
      <c r="C19" s="75">
        <f t="shared" si="2"/>
        <v>3916676</v>
      </c>
      <c r="D19" s="75">
        <f t="shared" si="3"/>
        <v>3916676</v>
      </c>
      <c r="E19" s="129">
        <v>3786676</v>
      </c>
      <c r="F19" s="75">
        <v>130000</v>
      </c>
      <c r="G19" s="86"/>
      <c r="H19" s="156"/>
      <c r="I19" s="85"/>
      <c r="J19" s="83"/>
      <c r="K19" s="85"/>
      <c r="L19" s="87"/>
      <c r="M19" s="301"/>
      <c r="N19" s="84"/>
    </row>
    <row r="20" spans="1:14" ht="27" customHeight="1">
      <c r="A20" s="74">
        <v>7</v>
      </c>
      <c r="B20" s="50" t="s">
        <v>114</v>
      </c>
      <c r="C20" s="75">
        <f t="shared" si="2"/>
        <v>28442200</v>
      </c>
      <c r="D20" s="75">
        <f t="shared" si="3"/>
        <v>28442200</v>
      </c>
      <c r="E20" s="129">
        <v>26890000</v>
      </c>
      <c r="F20" s="75">
        <v>1552200</v>
      </c>
      <c r="G20" s="86"/>
      <c r="H20" s="156"/>
      <c r="I20" s="85"/>
      <c r="J20" s="83"/>
      <c r="K20" s="87"/>
      <c r="L20" s="87"/>
      <c r="M20" s="301"/>
      <c r="N20" s="84"/>
    </row>
    <row r="21" spans="1:14" ht="27" customHeight="1">
      <c r="A21" s="74">
        <v>8</v>
      </c>
      <c r="B21" s="50" t="s">
        <v>190</v>
      </c>
      <c r="C21" s="75">
        <f t="shared" si="2"/>
        <v>150000</v>
      </c>
      <c r="D21" s="75">
        <f t="shared" si="3"/>
        <v>150000</v>
      </c>
      <c r="E21" s="129">
        <v>150000</v>
      </c>
      <c r="F21" s="75"/>
      <c r="G21" s="86"/>
      <c r="H21" s="156"/>
      <c r="I21" s="85"/>
      <c r="J21" s="83"/>
      <c r="K21" s="85"/>
      <c r="L21" s="84"/>
      <c r="M21" s="301"/>
      <c r="N21" s="84"/>
    </row>
    <row r="22" spans="1:14" ht="27" customHeight="1">
      <c r="A22" s="74">
        <v>9</v>
      </c>
      <c r="B22" s="50" t="s">
        <v>115</v>
      </c>
      <c r="C22" s="75">
        <f t="shared" si="2"/>
        <v>144575623</v>
      </c>
      <c r="D22" s="75">
        <f t="shared" si="3"/>
        <v>144575623</v>
      </c>
      <c r="E22" s="129">
        <f>51584891+74000</f>
        <v>51658891</v>
      </c>
      <c r="F22" s="75">
        <f>481740+92434992</f>
        <v>92916732</v>
      </c>
      <c r="G22" s="86"/>
      <c r="H22" s="85"/>
      <c r="I22" s="85"/>
      <c r="J22" s="83"/>
      <c r="K22" s="85"/>
      <c r="L22" s="85"/>
      <c r="M22" s="301"/>
      <c r="N22" s="84"/>
    </row>
    <row r="23" spans="1:14" ht="27" customHeight="1">
      <c r="A23" s="74">
        <v>10</v>
      </c>
      <c r="B23" s="50" t="s">
        <v>116</v>
      </c>
      <c r="C23" s="75">
        <f t="shared" si="2"/>
        <v>9537868</v>
      </c>
      <c r="D23" s="75">
        <f t="shared" si="3"/>
        <v>9537868</v>
      </c>
      <c r="E23" s="129">
        <f>E24+E25</f>
        <v>2508000</v>
      </c>
      <c r="F23" s="75">
        <f>F24+F25</f>
        <v>7029868</v>
      </c>
      <c r="G23" s="86"/>
      <c r="H23" s="85"/>
      <c r="I23" s="85"/>
      <c r="J23" s="83"/>
      <c r="K23" s="85"/>
      <c r="L23" s="85"/>
      <c r="M23" s="301"/>
      <c r="N23" s="84"/>
    </row>
    <row r="24" spans="1:14" ht="27" customHeight="1">
      <c r="A24" s="74"/>
      <c r="B24" s="50" t="s">
        <v>117</v>
      </c>
      <c r="C24" s="75">
        <f t="shared" si="2"/>
        <v>7435623</v>
      </c>
      <c r="D24" s="75">
        <f t="shared" si="3"/>
        <v>7435623</v>
      </c>
      <c r="E24" s="129">
        <v>1920000</v>
      </c>
      <c r="F24" s="75">
        <v>5515623</v>
      </c>
      <c r="G24" s="86"/>
      <c r="H24" s="85"/>
      <c r="I24" s="85"/>
      <c r="J24" s="83"/>
      <c r="K24" s="85"/>
      <c r="L24" s="85"/>
      <c r="M24" s="84"/>
      <c r="N24" s="84"/>
    </row>
    <row r="25" spans="1:14" ht="27" customHeight="1">
      <c r="A25" s="74"/>
      <c r="B25" s="50" t="s">
        <v>6</v>
      </c>
      <c r="C25" s="75">
        <f t="shared" si="2"/>
        <v>2102245</v>
      </c>
      <c r="D25" s="75">
        <f t="shared" si="3"/>
        <v>2102245</v>
      </c>
      <c r="E25" s="129">
        <v>588000</v>
      </c>
      <c r="F25" s="75">
        <v>1514245</v>
      </c>
      <c r="G25" s="86"/>
      <c r="H25" s="85"/>
      <c r="I25" s="85"/>
      <c r="J25" s="83"/>
      <c r="K25" s="85"/>
      <c r="L25" s="84"/>
      <c r="M25" s="301"/>
      <c r="N25" s="84"/>
    </row>
    <row r="26" spans="1:14" ht="27" customHeight="1">
      <c r="A26" s="74">
        <v>11</v>
      </c>
      <c r="B26" s="50" t="s">
        <v>118</v>
      </c>
      <c r="C26" s="75">
        <f t="shared" si="2"/>
        <v>3075000</v>
      </c>
      <c r="D26" s="75">
        <f t="shared" si="3"/>
        <v>3075000</v>
      </c>
      <c r="E26" s="129">
        <v>2556000</v>
      </c>
      <c r="F26" s="75">
        <v>519000</v>
      </c>
      <c r="G26" s="86"/>
      <c r="H26" s="85"/>
      <c r="I26" s="85"/>
      <c r="J26" s="83"/>
      <c r="K26" s="85"/>
      <c r="L26" s="84"/>
      <c r="M26" s="85"/>
      <c r="N26" s="84"/>
    </row>
    <row r="27" spans="1:14" s="53" customFormat="1" ht="27" customHeight="1">
      <c r="A27" s="119" t="s">
        <v>7</v>
      </c>
      <c r="B27" s="120" t="s">
        <v>119</v>
      </c>
      <c r="C27" s="73">
        <f t="shared" si="2"/>
        <v>12905000</v>
      </c>
      <c r="D27" s="73">
        <f t="shared" si="3"/>
        <v>12905000</v>
      </c>
      <c r="E27" s="204">
        <v>10775000</v>
      </c>
      <c r="F27" s="73">
        <v>2130000</v>
      </c>
      <c r="G27" s="151"/>
      <c r="H27" s="83"/>
      <c r="I27" s="83"/>
      <c r="J27" s="83"/>
      <c r="K27" s="55"/>
    </row>
    <row r="28" spans="1:14" s="53" customFormat="1" ht="27" customHeight="1">
      <c r="A28" s="119" t="s">
        <v>79</v>
      </c>
      <c r="B28" s="120" t="s">
        <v>120</v>
      </c>
      <c r="C28" s="73">
        <v>47194000</v>
      </c>
      <c r="D28" s="73">
        <v>47194000</v>
      </c>
      <c r="E28" s="73">
        <f>D28-F28</f>
        <v>44048000</v>
      </c>
      <c r="F28" s="73">
        <v>3146000</v>
      </c>
      <c r="G28" s="83"/>
      <c r="H28" s="83"/>
      <c r="I28" s="55"/>
      <c r="K28" s="55"/>
    </row>
    <row r="29" spans="1:14" s="53" customFormat="1" ht="26.25" customHeight="1">
      <c r="A29" s="120"/>
      <c r="B29" s="119" t="s">
        <v>84</v>
      </c>
      <c r="C29" s="73">
        <f>C7+C11+C27+C28</f>
        <v>692455000</v>
      </c>
      <c r="D29" s="73">
        <f t="shared" ref="D29:F29" si="4">D7+D11+D27+D28</f>
        <v>692455000</v>
      </c>
      <c r="E29" s="73">
        <f t="shared" si="4"/>
        <v>582786000</v>
      </c>
      <c r="F29" s="73">
        <f t="shared" si="4"/>
        <v>109669000</v>
      </c>
      <c r="G29" s="83"/>
      <c r="H29" s="83"/>
      <c r="I29" s="55"/>
      <c r="K29" s="55"/>
      <c r="L29" s="55"/>
    </row>
    <row r="30" spans="1:14" ht="22.2" customHeight="1">
      <c r="C30" s="51"/>
      <c r="D30" s="51"/>
      <c r="E30" s="302"/>
      <c r="F30" s="302"/>
      <c r="K30" s="55"/>
    </row>
    <row r="31" spans="1:14">
      <c r="C31" s="51"/>
      <c r="D31" s="51"/>
      <c r="E31" s="302"/>
      <c r="F31" s="302"/>
      <c r="G31" s="302"/>
      <c r="H31" s="302"/>
      <c r="I31" s="51"/>
      <c r="K31" s="51"/>
    </row>
    <row r="32" spans="1:14">
      <c r="C32" s="51"/>
      <c r="D32" s="51"/>
      <c r="E32" s="302"/>
      <c r="F32" s="303"/>
      <c r="G32" s="303"/>
      <c r="H32" s="303"/>
      <c r="I32" s="51"/>
      <c r="K32" s="51"/>
    </row>
    <row r="33" spans="3:11">
      <c r="D33" s="51"/>
      <c r="E33" s="302"/>
      <c r="F33" s="302"/>
      <c r="G33" s="302"/>
      <c r="H33" s="302"/>
      <c r="I33" s="51"/>
      <c r="K33" s="51"/>
    </row>
    <row r="34" spans="3:11">
      <c r="C34" s="51"/>
      <c r="D34" s="51"/>
      <c r="E34" s="302"/>
      <c r="F34" s="302"/>
      <c r="I34" s="51"/>
    </row>
    <row r="35" spans="3:11">
      <c r="D35" s="51"/>
      <c r="E35" s="302"/>
    </row>
    <row r="37" spans="3:11">
      <c r="F37" s="302"/>
      <c r="G37" s="302"/>
      <c r="H37" s="302"/>
    </row>
    <row r="39" spans="3:11" ht="16.8">
      <c r="C39" s="145"/>
      <c r="D39" s="145"/>
      <c r="E39" s="304"/>
    </row>
    <row r="40" spans="3:11" ht="15.6">
      <c r="C40" s="305"/>
      <c r="D40" s="305"/>
      <c r="E40" s="302"/>
    </row>
    <row r="41" spans="3:11" ht="16.8">
      <c r="C41" s="145"/>
      <c r="D41" s="51"/>
    </row>
    <row r="42" spans="3:11">
      <c r="C42" s="51"/>
    </row>
  </sheetData>
  <mergeCells count="9">
    <mergeCell ref="C1:F1"/>
    <mergeCell ref="A2:F2"/>
    <mergeCell ref="A3:F3"/>
    <mergeCell ref="C4:F4"/>
    <mergeCell ref="A5:A6"/>
    <mergeCell ref="B5:B6"/>
    <mergeCell ref="C5:C6"/>
    <mergeCell ref="D5:D6"/>
    <mergeCell ref="E5:F5"/>
  </mergeCells>
  <pageMargins left="0.51181102362204722" right="0.23622047244094491" top="0.39370078740157483" bottom="0.59055118110236227" header="0.35433070866141736" footer="0.51181102362204722"/>
  <pageSetup paperSize="9" scale="75"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5"/>
  <sheetViews>
    <sheetView workbookViewId="0">
      <selection activeCell="E4" sqref="E4:F4"/>
    </sheetView>
  </sheetViews>
  <sheetFormatPr defaultColWidth="9" defaultRowHeight="13.8"/>
  <cols>
    <col min="1" max="1" width="4.77734375" style="49" customWidth="1"/>
    <col min="2" max="2" width="46.5546875" style="49" customWidth="1"/>
    <col min="3" max="3" width="8.6640625" style="49" customWidth="1"/>
    <col min="4" max="4" width="13" style="49" customWidth="1"/>
    <col min="5" max="5" width="13.6640625" style="49" customWidth="1"/>
    <col min="6" max="6" width="12.21875" style="49" customWidth="1"/>
    <col min="7" max="7" width="20.77734375" style="49" customWidth="1"/>
    <col min="8" max="9" width="12.33203125" style="49" customWidth="1"/>
    <col min="10" max="10" width="11.21875" style="49" customWidth="1"/>
    <col min="11" max="11" width="16.33203125" style="49" customWidth="1"/>
    <col min="12" max="16384" width="9" style="49"/>
  </cols>
  <sheetData>
    <row r="1" spans="1:37">
      <c r="A1" s="116"/>
      <c r="B1" s="116"/>
      <c r="C1" s="116"/>
      <c r="D1" s="116"/>
      <c r="E1" s="325" t="s">
        <v>396</v>
      </c>
      <c r="F1" s="325"/>
      <c r="G1" s="116"/>
      <c r="H1" s="116"/>
      <c r="I1" s="116"/>
      <c r="J1" s="116"/>
    </row>
    <row r="2" spans="1:37" ht="23.25" customHeight="1">
      <c r="A2" s="327" t="s">
        <v>371</v>
      </c>
      <c r="B2" s="327"/>
      <c r="C2" s="327"/>
      <c r="D2" s="327"/>
      <c r="E2" s="327"/>
      <c r="F2" s="327"/>
      <c r="G2" s="116"/>
      <c r="H2" s="116"/>
      <c r="I2" s="116"/>
      <c r="J2" s="116"/>
    </row>
    <row r="3" spans="1:37" ht="20.25" customHeight="1">
      <c r="A3" s="328" t="s">
        <v>380</v>
      </c>
      <c r="B3" s="328"/>
      <c r="C3" s="328"/>
      <c r="D3" s="328"/>
      <c r="E3" s="328"/>
      <c r="F3" s="328"/>
      <c r="G3" s="241"/>
      <c r="H3" s="241"/>
      <c r="I3" s="241"/>
      <c r="J3" s="116"/>
    </row>
    <row r="4" spans="1:37" ht="17.25" customHeight="1">
      <c r="A4" s="116"/>
      <c r="B4" s="116"/>
      <c r="C4" s="116"/>
      <c r="D4" s="116"/>
      <c r="E4" s="341" t="s">
        <v>397</v>
      </c>
      <c r="F4" s="341"/>
      <c r="G4" s="261"/>
      <c r="H4" s="262"/>
      <c r="I4" s="262"/>
      <c r="J4" s="262"/>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row>
    <row r="5" spans="1:37" ht="21.75" customHeight="1">
      <c r="A5" s="338" t="s">
        <v>0</v>
      </c>
      <c r="B5" s="335" t="s">
        <v>142</v>
      </c>
      <c r="C5" s="332" t="s">
        <v>185</v>
      </c>
      <c r="D5" s="331" t="s">
        <v>81</v>
      </c>
      <c r="E5" s="330" t="s">
        <v>82</v>
      </c>
      <c r="F5" s="330" t="s">
        <v>83</v>
      </c>
      <c r="G5" s="261"/>
      <c r="H5" s="262"/>
      <c r="I5" s="262"/>
      <c r="J5" s="262"/>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row>
    <row r="6" spans="1:37" ht="21.75" customHeight="1">
      <c r="A6" s="339"/>
      <c r="B6" s="336"/>
      <c r="C6" s="333"/>
      <c r="D6" s="331"/>
      <c r="E6" s="331"/>
      <c r="F6" s="331"/>
      <c r="G6" s="261"/>
      <c r="H6" s="262"/>
      <c r="I6" s="262"/>
      <c r="J6" s="262"/>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row>
    <row r="7" spans="1:37" ht="4.5" customHeight="1">
      <c r="A7" s="340"/>
      <c r="B7" s="337"/>
      <c r="C7" s="334"/>
      <c r="D7" s="331"/>
      <c r="E7" s="331"/>
      <c r="F7" s="331"/>
      <c r="G7" s="261"/>
      <c r="H7" s="262"/>
      <c r="I7" s="262"/>
      <c r="J7" s="262"/>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row>
    <row r="8" spans="1:37" s="76" customFormat="1" ht="21.9" customHeight="1">
      <c r="A8" s="181">
        <v>1</v>
      </c>
      <c r="B8" s="200" t="s">
        <v>143</v>
      </c>
      <c r="C8" s="201">
        <v>27</v>
      </c>
      <c r="D8" s="129">
        <f>E8+F8</f>
        <v>12276138.199999999</v>
      </c>
      <c r="E8" s="129">
        <f>SUM(E9:E17)</f>
        <v>9762898.1999999993</v>
      </c>
      <c r="F8" s="129">
        <f>SUM(F9:F25)</f>
        <v>2513240</v>
      </c>
      <c r="G8" s="261"/>
      <c r="H8" s="262"/>
      <c r="I8" s="262"/>
      <c r="J8" s="262"/>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row>
    <row r="9" spans="1:37" s="76" customFormat="1" ht="21.9" customHeight="1">
      <c r="A9" s="181"/>
      <c r="B9" s="200" t="s">
        <v>191</v>
      </c>
      <c r="C9" s="201"/>
      <c r="D9" s="129">
        <f t="shared" ref="D9:D92" si="0">E9+F9</f>
        <v>8572973</v>
      </c>
      <c r="E9" s="129">
        <f>8964443+22464+1080+101969+17050-534033</f>
        <v>8572973</v>
      </c>
      <c r="F9" s="129"/>
      <c r="G9" s="261"/>
      <c r="H9" s="262"/>
      <c r="I9" s="262"/>
      <c r="J9" s="262"/>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row>
    <row r="10" spans="1:37" s="76" customFormat="1" ht="21.9" customHeight="1">
      <c r="A10" s="181"/>
      <c r="B10" s="200" t="s">
        <v>348</v>
      </c>
      <c r="C10" s="201"/>
      <c r="D10" s="129"/>
      <c r="E10" s="129">
        <f>(288616*12)*10%-4430</f>
        <v>341909.2</v>
      </c>
      <c r="F10" s="129"/>
      <c r="G10" s="261"/>
      <c r="H10" s="262"/>
      <c r="I10" s="262"/>
      <c r="J10" s="262"/>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row>
    <row r="11" spans="1:37" s="76" customFormat="1" ht="21.9" customHeight="1">
      <c r="A11" s="181"/>
      <c r="B11" s="200" t="s">
        <v>144</v>
      </c>
      <c r="C11" s="201"/>
      <c r="D11" s="129">
        <f t="shared" si="0"/>
        <v>381888</v>
      </c>
      <c r="E11" s="129">
        <v>381888</v>
      </c>
      <c r="F11" s="129"/>
      <c r="G11" s="263"/>
      <c r="H11" s="262"/>
      <c r="I11" s="262"/>
      <c r="J11" s="262"/>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row>
    <row r="12" spans="1:37" s="76" customFormat="1" ht="21.9" customHeight="1">
      <c r="A12" s="181"/>
      <c r="B12" s="200" t="s">
        <v>183</v>
      </c>
      <c r="C12" s="201"/>
      <c r="D12" s="129">
        <f t="shared" si="0"/>
        <v>168480</v>
      </c>
      <c r="E12" s="129">
        <v>168480</v>
      </c>
      <c r="F12" s="129"/>
      <c r="G12" s="261"/>
      <c r="H12" s="262"/>
      <c r="I12" s="262"/>
      <c r="J12" s="262"/>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row>
    <row r="13" spans="1:37" s="76" customFormat="1" ht="21.9" customHeight="1">
      <c r="A13" s="181"/>
      <c r="B13" s="200" t="s">
        <v>184</v>
      </c>
      <c r="C13" s="201"/>
      <c r="D13" s="129">
        <f t="shared" si="0"/>
        <v>101088</v>
      </c>
      <c r="E13" s="129">
        <v>101088</v>
      </c>
      <c r="F13" s="129"/>
      <c r="G13" s="261"/>
      <c r="H13" s="262"/>
      <c r="I13" s="262"/>
      <c r="J13" s="262"/>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row>
    <row r="14" spans="1:37" s="76" customFormat="1" ht="21.9" customHeight="1">
      <c r="A14" s="181"/>
      <c r="B14" s="200" t="s">
        <v>222</v>
      </c>
      <c r="C14" s="201"/>
      <c r="D14" s="129">
        <f t="shared" si="0"/>
        <v>33696</v>
      </c>
      <c r="E14" s="129">
        <v>33696</v>
      </c>
      <c r="F14" s="129"/>
      <c r="G14" s="261"/>
      <c r="H14" s="262"/>
      <c r="I14" s="262"/>
      <c r="J14" s="262"/>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row>
    <row r="15" spans="1:37" s="76" customFormat="1" ht="21.9" customHeight="1">
      <c r="A15" s="181"/>
      <c r="B15" s="200" t="s">
        <v>321</v>
      </c>
      <c r="C15" s="201"/>
      <c r="D15" s="129">
        <f t="shared" si="0"/>
        <v>16848</v>
      </c>
      <c r="E15" s="129">
        <f>5616*3</f>
        <v>16848</v>
      </c>
      <c r="F15" s="129"/>
      <c r="G15" s="261"/>
      <c r="H15" s="262"/>
      <c r="I15" s="262"/>
      <c r="J15" s="262"/>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row>
    <row r="16" spans="1:37" s="76" customFormat="1" ht="31.8" customHeight="1">
      <c r="A16" s="181"/>
      <c r="B16" s="264" t="s">
        <v>220</v>
      </c>
      <c r="C16" s="201"/>
      <c r="D16" s="129">
        <f t="shared" si="0"/>
        <v>112320</v>
      </c>
      <c r="E16" s="129">
        <v>112320</v>
      </c>
      <c r="F16" s="129"/>
      <c r="G16" s="261"/>
      <c r="H16" s="262"/>
      <c r="I16" s="262"/>
      <c r="J16" s="262"/>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row>
    <row r="17" spans="1:37" s="76" customFormat="1" ht="20.399999999999999" customHeight="1">
      <c r="A17" s="181"/>
      <c r="B17" s="264" t="s">
        <v>322</v>
      </c>
      <c r="C17" s="201"/>
      <c r="D17" s="129">
        <f t="shared" si="0"/>
        <v>53696</v>
      </c>
      <c r="E17" s="129">
        <v>33696</v>
      </c>
      <c r="F17" s="129">
        <v>20000</v>
      </c>
      <c r="G17" s="261"/>
      <c r="H17" s="262"/>
      <c r="I17" s="262"/>
      <c r="J17" s="262"/>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row>
    <row r="18" spans="1:37" s="76" customFormat="1" ht="21.9" customHeight="1">
      <c r="A18" s="181"/>
      <c r="B18" s="200" t="s">
        <v>145</v>
      </c>
      <c r="C18" s="201"/>
      <c r="D18" s="129">
        <f t="shared" si="0"/>
        <v>408240</v>
      </c>
      <c r="E18" s="129"/>
      <c r="F18" s="129">
        <f>C8*15120</f>
        <v>408240</v>
      </c>
      <c r="G18" s="261"/>
      <c r="H18" s="262"/>
      <c r="I18" s="265"/>
      <c r="J18" s="262"/>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row>
    <row r="19" spans="1:37" s="76" customFormat="1" ht="21.9" customHeight="1">
      <c r="A19" s="181"/>
      <c r="B19" s="200" t="s">
        <v>146</v>
      </c>
      <c r="C19" s="201"/>
      <c r="D19" s="129">
        <f t="shared" si="0"/>
        <v>80000</v>
      </c>
      <c r="E19" s="129"/>
      <c r="F19" s="129">
        <v>80000</v>
      </c>
      <c r="G19" s="261"/>
      <c r="H19" s="262"/>
      <c r="I19" s="262"/>
      <c r="J19" s="262"/>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row>
    <row r="20" spans="1:37" s="76" customFormat="1" ht="21.9" customHeight="1">
      <c r="A20" s="181"/>
      <c r="B20" s="200" t="s">
        <v>147</v>
      </c>
      <c r="C20" s="201"/>
      <c r="D20" s="129">
        <f t="shared" si="0"/>
        <v>75000</v>
      </c>
      <c r="E20" s="129"/>
      <c r="F20" s="129">
        <v>75000</v>
      </c>
      <c r="G20" s="263"/>
      <c r="H20" s="262"/>
      <c r="I20" s="262"/>
      <c r="J20" s="262"/>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row>
    <row r="21" spans="1:37" s="76" customFormat="1" ht="21.9" customHeight="1">
      <c r="A21" s="181"/>
      <c r="B21" s="200" t="s">
        <v>330</v>
      </c>
      <c r="C21" s="201"/>
      <c r="D21" s="129">
        <f t="shared" si="0"/>
        <v>150000</v>
      </c>
      <c r="E21" s="129"/>
      <c r="F21" s="129">
        <v>150000</v>
      </c>
      <c r="G21" s="263"/>
      <c r="H21" s="262"/>
      <c r="I21" s="262"/>
      <c r="J21" s="262"/>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row>
    <row r="22" spans="1:37" s="76" customFormat="1" ht="21.9" customHeight="1">
      <c r="A22" s="181"/>
      <c r="B22" s="200" t="s">
        <v>148</v>
      </c>
      <c r="C22" s="201"/>
      <c r="D22" s="129">
        <f t="shared" si="0"/>
        <v>80000</v>
      </c>
      <c r="E22" s="129"/>
      <c r="F22" s="129">
        <v>80000</v>
      </c>
      <c r="G22" s="261"/>
      <c r="H22" s="262"/>
      <c r="I22" s="262"/>
      <c r="J22" s="262"/>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row>
    <row r="23" spans="1:37" s="76" customFormat="1" ht="21.9" customHeight="1">
      <c r="A23" s="181"/>
      <c r="B23" s="200" t="s">
        <v>318</v>
      </c>
      <c r="C23" s="201"/>
      <c r="D23" s="129">
        <f t="shared" si="0"/>
        <v>300000</v>
      </c>
      <c r="E23" s="129"/>
      <c r="F23" s="129">
        <v>300000</v>
      </c>
      <c r="G23" s="261"/>
      <c r="H23" s="262"/>
      <c r="I23" s="262"/>
      <c r="J23" s="262"/>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row>
    <row r="24" spans="1:37" s="76" customFormat="1" ht="21.9" customHeight="1">
      <c r="A24" s="181"/>
      <c r="B24" s="200" t="s">
        <v>293</v>
      </c>
      <c r="C24" s="201"/>
      <c r="D24" s="129">
        <f t="shared" si="0"/>
        <v>200000</v>
      </c>
      <c r="E24" s="129"/>
      <c r="F24" s="129">
        <v>200000</v>
      </c>
      <c r="G24" s="261"/>
      <c r="H24" s="262"/>
      <c r="I24" s="265"/>
      <c r="J24" s="262"/>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row>
    <row r="25" spans="1:37" s="76" customFormat="1" ht="21.9" customHeight="1">
      <c r="A25" s="181"/>
      <c r="B25" s="200" t="s">
        <v>149</v>
      </c>
      <c r="C25" s="201"/>
      <c r="D25" s="129">
        <f t="shared" si="0"/>
        <v>1200000</v>
      </c>
      <c r="E25" s="129"/>
      <c r="F25" s="129">
        <v>1200000</v>
      </c>
      <c r="G25" s="261"/>
      <c r="H25" s="262"/>
      <c r="I25" s="265"/>
      <c r="J25" s="262"/>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row>
    <row r="26" spans="1:37" s="76" customFormat="1" ht="21.9" customHeight="1">
      <c r="A26" s="181">
        <v>2</v>
      </c>
      <c r="B26" s="200" t="s">
        <v>150</v>
      </c>
      <c r="C26" s="201">
        <v>18</v>
      </c>
      <c r="D26" s="129">
        <f t="shared" si="0"/>
        <v>8409397.4000000004</v>
      </c>
      <c r="E26" s="129">
        <f>SUM(E27:E33)</f>
        <v>5867237.4000000004</v>
      </c>
      <c r="F26" s="129">
        <f>SUM(F27:F36)</f>
        <v>2542160</v>
      </c>
      <c r="G26" s="263"/>
      <c r="H26" s="262"/>
      <c r="I26" s="265"/>
      <c r="J26" s="262"/>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row>
    <row r="27" spans="1:37" s="76" customFormat="1" ht="20.399999999999999" customHeight="1">
      <c r="A27" s="181"/>
      <c r="B27" s="200" t="s">
        <v>151</v>
      </c>
      <c r="C27" s="201"/>
      <c r="D27" s="129">
        <f t="shared" si="0"/>
        <v>5242547</v>
      </c>
      <c r="E27" s="129">
        <f>(400153+36917+6329+260+4219)*12+182392+105342-419723</f>
        <v>5242547</v>
      </c>
      <c r="F27" s="129"/>
      <c r="G27" s="263"/>
      <c r="H27" s="262"/>
      <c r="I27" s="265"/>
      <c r="J27" s="262"/>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row>
    <row r="28" spans="1:37" s="76" customFormat="1" ht="20.399999999999999" customHeight="1">
      <c r="A28" s="181"/>
      <c r="B28" s="200" t="s">
        <v>348</v>
      </c>
      <c r="C28" s="201"/>
      <c r="D28" s="129"/>
      <c r="E28" s="129">
        <f>(201357*12)*10%</f>
        <v>241628.40000000002</v>
      </c>
      <c r="F28" s="129"/>
      <c r="G28" s="263"/>
      <c r="H28" s="262"/>
      <c r="I28" s="265"/>
      <c r="J28" s="262"/>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row>
    <row r="29" spans="1:37" s="76" customFormat="1" ht="29.4" customHeight="1">
      <c r="A29" s="181"/>
      <c r="B29" s="264" t="s">
        <v>224</v>
      </c>
      <c r="C29" s="201"/>
      <c r="D29" s="129">
        <f t="shared" si="0"/>
        <v>303264</v>
      </c>
      <c r="E29" s="129">
        <f>25272*12</f>
        <v>303264</v>
      </c>
      <c r="F29" s="129"/>
      <c r="G29" s="263"/>
      <c r="H29" s="262"/>
      <c r="I29" s="265"/>
      <c r="J29" s="262"/>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row>
    <row r="30" spans="1:37" s="76" customFormat="1" ht="21.9" customHeight="1">
      <c r="A30" s="181"/>
      <c r="B30" s="200" t="s">
        <v>221</v>
      </c>
      <c r="C30" s="201"/>
      <c r="D30" s="129">
        <f t="shared" si="0"/>
        <v>18238</v>
      </c>
      <c r="E30" s="129">
        <v>18238</v>
      </c>
      <c r="F30" s="129"/>
      <c r="G30" s="263"/>
      <c r="H30" s="265"/>
      <c r="I30" s="265"/>
      <c r="J30" s="262"/>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row>
    <row r="31" spans="1:37" s="76" customFormat="1" ht="21.9" customHeight="1">
      <c r="A31" s="181"/>
      <c r="B31" s="200" t="s">
        <v>223</v>
      </c>
      <c r="C31" s="201"/>
      <c r="D31" s="129">
        <f t="shared" si="0"/>
        <v>10560</v>
      </c>
      <c r="E31" s="129">
        <v>10560</v>
      </c>
      <c r="F31" s="129"/>
      <c r="G31" s="263"/>
      <c r="H31" s="262"/>
      <c r="I31" s="265"/>
      <c r="J31" s="262"/>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row>
    <row r="32" spans="1:37" s="76" customFormat="1" ht="21.9" customHeight="1">
      <c r="A32" s="181"/>
      <c r="B32" s="200" t="s">
        <v>145</v>
      </c>
      <c r="C32" s="201"/>
      <c r="D32" s="129">
        <f t="shared" si="0"/>
        <v>272160</v>
      </c>
      <c r="E32" s="129"/>
      <c r="F32" s="129">
        <f>18*15120</f>
        <v>272160</v>
      </c>
      <c r="G32" s="263"/>
      <c r="H32" s="266"/>
      <c r="I32" s="265"/>
      <c r="J32" s="262"/>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row>
    <row r="33" spans="1:37" s="76" customFormat="1" ht="21.9" customHeight="1">
      <c r="A33" s="181"/>
      <c r="B33" s="200" t="s">
        <v>152</v>
      </c>
      <c r="C33" s="201"/>
      <c r="D33" s="129">
        <f t="shared" si="0"/>
        <v>51000</v>
      </c>
      <c r="E33" s="129">
        <v>51000</v>
      </c>
      <c r="F33" s="129"/>
      <c r="G33" s="263"/>
      <c r="H33" s="266"/>
      <c r="I33" s="265"/>
      <c r="J33" s="265"/>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row>
    <row r="34" spans="1:37" s="76" customFormat="1" ht="21.9" customHeight="1">
      <c r="A34" s="181"/>
      <c r="B34" s="200" t="s">
        <v>148</v>
      </c>
      <c r="C34" s="201"/>
      <c r="D34" s="129">
        <f t="shared" si="0"/>
        <v>120000</v>
      </c>
      <c r="E34" s="129"/>
      <c r="F34" s="129">
        <v>120000</v>
      </c>
      <c r="G34" s="263"/>
      <c r="H34" s="267"/>
      <c r="I34" s="265"/>
      <c r="J34" s="265"/>
      <c r="K34" s="156"/>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row>
    <row r="35" spans="1:37" s="76" customFormat="1" ht="21.9" customHeight="1">
      <c r="A35" s="181"/>
      <c r="B35" s="200" t="s">
        <v>153</v>
      </c>
      <c r="C35" s="201"/>
      <c r="D35" s="129">
        <f t="shared" si="0"/>
        <v>1200000</v>
      </c>
      <c r="E35" s="129"/>
      <c r="F35" s="129">
        <v>1200000</v>
      </c>
      <c r="G35" s="263"/>
      <c r="H35" s="262"/>
      <c r="I35" s="262"/>
      <c r="J35" s="262"/>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row>
    <row r="36" spans="1:37" s="76" customFormat="1" ht="21.9" customHeight="1">
      <c r="A36" s="181"/>
      <c r="B36" s="200" t="s">
        <v>154</v>
      </c>
      <c r="C36" s="201"/>
      <c r="D36" s="129">
        <f t="shared" si="0"/>
        <v>950000</v>
      </c>
      <c r="E36" s="129"/>
      <c r="F36" s="129">
        <v>950000</v>
      </c>
      <c r="G36" s="261"/>
      <c r="H36" s="262"/>
      <c r="I36" s="262"/>
      <c r="J36" s="262"/>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row>
    <row r="37" spans="1:37" s="76" customFormat="1" ht="21.9" customHeight="1">
      <c r="A37" s="181">
        <v>3</v>
      </c>
      <c r="B37" s="200" t="s">
        <v>137</v>
      </c>
      <c r="C37" s="201">
        <v>8</v>
      </c>
      <c r="D37" s="129">
        <f t="shared" si="0"/>
        <v>2215333</v>
      </c>
      <c r="E37" s="129">
        <f>(143163+12785+2191+1461)*12+32911+E38</f>
        <v>2034373</v>
      </c>
      <c r="F37" s="129">
        <f>C37*15120+F38+F39+F40</f>
        <v>180960</v>
      </c>
      <c r="G37" s="261"/>
      <c r="H37" s="262"/>
      <c r="I37" s="262"/>
      <c r="J37" s="262"/>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row>
    <row r="38" spans="1:37" s="76" customFormat="1" ht="21.9" customHeight="1">
      <c r="A38" s="181"/>
      <c r="B38" s="202" t="s">
        <v>352</v>
      </c>
      <c r="C38" s="201"/>
      <c r="D38" s="129">
        <f t="shared" si="0"/>
        <v>86262</v>
      </c>
      <c r="E38" s="129">
        <f>(71885*12)*10%</f>
        <v>86262</v>
      </c>
      <c r="F38" s="203"/>
      <c r="G38" s="261"/>
      <c r="H38" s="262"/>
      <c r="I38" s="262"/>
      <c r="J38" s="262"/>
      <c r="K38" s="84"/>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row>
    <row r="39" spans="1:37" s="76" customFormat="1" ht="21.9" customHeight="1">
      <c r="A39" s="181"/>
      <c r="B39" s="202" t="s">
        <v>349</v>
      </c>
      <c r="C39" s="201"/>
      <c r="D39" s="129"/>
      <c r="E39" s="129"/>
      <c r="F39" s="203">
        <v>35000</v>
      </c>
      <c r="G39" s="261"/>
      <c r="H39" s="262"/>
      <c r="I39" s="262"/>
      <c r="J39" s="262"/>
      <c r="K39" s="84"/>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row>
    <row r="40" spans="1:37" s="76" customFormat="1" ht="21.9" customHeight="1">
      <c r="A40" s="181"/>
      <c r="B40" s="202" t="s">
        <v>350</v>
      </c>
      <c r="C40" s="201"/>
      <c r="D40" s="129">
        <f t="shared" si="0"/>
        <v>25000</v>
      </c>
      <c r="E40" s="129"/>
      <c r="F40" s="203">
        <v>25000</v>
      </c>
      <c r="G40" s="261"/>
      <c r="H40" s="262"/>
      <c r="I40" s="262"/>
      <c r="J40" s="262"/>
      <c r="K40" s="84"/>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row>
    <row r="41" spans="1:37" s="76" customFormat="1" ht="21.9" customHeight="1">
      <c r="A41" s="181">
        <v>4</v>
      </c>
      <c r="B41" s="200" t="s">
        <v>155</v>
      </c>
      <c r="C41" s="201">
        <v>6</v>
      </c>
      <c r="D41" s="129">
        <f t="shared" si="0"/>
        <v>1683892.4</v>
      </c>
      <c r="E41" s="129">
        <f>(126310.5*12)+9296+E42</f>
        <v>1593172.4</v>
      </c>
      <c r="F41" s="129">
        <f>C41*15120</f>
        <v>90720</v>
      </c>
      <c r="G41" s="261"/>
      <c r="H41" s="262"/>
      <c r="I41" s="262"/>
      <c r="J41" s="262"/>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row>
    <row r="42" spans="1:37" s="76" customFormat="1" ht="21.9" customHeight="1">
      <c r="A42" s="181"/>
      <c r="B42" s="202" t="s">
        <v>352</v>
      </c>
      <c r="C42" s="201"/>
      <c r="D42" s="129"/>
      <c r="E42" s="129">
        <f>(56792*12)*10%</f>
        <v>68150.400000000009</v>
      </c>
      <c r="F42" s="129"/>
      <c r="G42" s="262"/>
      <c r="H42" s="262"/>
      <c r="I42" s="262"/>
      <c r="J42" s="262"/>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row>
    <row r="43" spans="1:37" s="76" customFormat="1" ht="20.100000000000001" customHeight="1">
      <c r="A43" s="181">
        <v>5</v>
      </c>
      <c r="B43" s="200" t="s">
        <v>156</v>
      </c>
      <c r="C43" s="201">
        <v>7</v>
      </c>
      <c r="D43" s="129">
        <f t="shared" si="0"/>
        <v>1861674</v>
      </c>
      <c r="E43" s="129">
        <f>1435390+22840+(105342*2)+E44</f>
        <v>1730834</v>
      </c>
      <c r="F43" s="129">
        <f>C43*15120+F45</f>
        <v>130840</v>
      </c>
      <c r="G43" s="116"/>
      <c r="H43" s="262"/>
      <c r="I43" s="262"/>
      <c r="J43" s="262"/>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row>
    <row r="44" spans="1:37" s="76" customFormat="1" ht="20.100000000000001" customHeight="1">
      <c r="A44" s="181"/>
      <c r="B44" s="202" t="s">
        <v>352</v>
      </c>
      <c r="C44" s="201"/>
      <c r="D44" s="129"/>
      <c r="E44" s="129">
        <f>(51600*12)*10%</f>
        <v>61920</v>
      </c>
      <c r="F44" s="129"/>
      <c r="G44" s="116"/>
      <c r="H44" s="262"/>
      <c r="I44" s="262"/>
      <c r="J44" s="262"/>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row>
    <row r="45" spans="1:37" s="76" customFormat="1" ht="20.100000000000001" customHeight="1">
      <c r="A45" s="181"/>
      <c r="B45" s="202" t="s">
        <v>351</v>
      </c>
      <c r="C45" s="201"/>
      <c r="D45" s="129"/>
      <c r="E45" s="129"/>
      <c r="F45" s="129">
        <v>25000</v>
      </c>
      <c r="G45" s="116"/>
      <c r="H45" s="262"/>
      <c r="I45" s="262"/>
      <c r="J45" s="262"/>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row>
    <row r="46" spans="1:37" s="76" customFormat="1" ht="21.9" customHeight="1">
      <c r="A46" s="181">
        <v>6</v>
      </c>
      <c r="B46" s="200" t="s">
        <v>136</v>
      </c>
      <c r="C46" s="201">
        <v>8</v>
      </c>
      <c r="D46" s="129">
        <f t="shared" si="0"/>
        <v>1970711.6</v>
      </c>
      <c r="E46" s="129">
        <f>(129948.5+12846+2202+63.7+1468)*12+4730+E47</f>
        <v>1849751.6</v>
      </c>
      <c r="F46" s="129">
        <f>C46*15120</f>
        <v>120960</v>
      </c>
      <c r="G46" s="116"/>
      <c r="H46" s="116"/>
      <c r="I46" s="116"/>
      <c r="J46" s="116"/>
    </row>
    <row r="47" spans="1:37" s="76" customFormat="1" ht="21.9" customHeight="1">
      <c r="A47" s="181"/>
      <c r="B47" s="202" t="s">
        <v>352</v>
      </c>
      <c r="C47" s="201"/>
      <c r="D47" s="129"/>
      <c r="E47" s="129">
        <f>(72236*12)*10%</f>
        <v>86683.200000000012</v>
      </c>
      <c r="F47" s="129"/>
      <c r="G47" s="116"/>
      <c r="H47" s="116"/>
      <c r="I47" s="116"/>
      <c r="J47" s="116"/>
    </row>
    <row r="48" spans="1:37" s="76" customFormat="1" ht="21.9" customHeight="1">
      <c r="A48" s="181">
        <v>7</v>
      </c>
      <c r="B48" s="200" t="s">
        <v>157</v>
      </c>
      <c r="C48" s="201">
        <v>4</v>
      </c>
      <c r="D48" s="129">
        <f t="shared" si="0"/>
        <v>1633168.32</v>
      </c>
      <c r="E48" s="129">
        <f>(109741.5+977.5+10020)*12+22356+E49</f>
        <v>1524688.32</v>
      </c>
      <c r="F48" s="129">
        <f>C48*15120+F50</f>
        <v>108480</v>
      </c>
      <c r="G48" s="116"/>
      <c r="H48" s="116"/>
      <c r="I48" s="116"/>
      <c r="J48" s="116"/>
    </row>
    <row r="49" spans="1:10" s="76" customFormat="1" ht="21.9" customHeight="1">
      <c r="A49" s="181"/>
      <c r="B49" s="202" t="s">
        <v>352</v>
      </c>
      <c r="C49" s="201"/>
      <c r="D49" s="129"/>
      <c r="E49" s="129">
        <f>(19.04*2340*12)*10%</f>
        <v>53464.32</v>
      </c>
      <c r="F49" s="129"/>
      <c r="G49" s="116"/>
      <c r="H49" s="116"/>
      <c r="I49" s="116"/>
      <c r="J49" s="116"/>
    </row>
    <row r="50" spans="1:10" s="76" customFormat="1" ht="21.9" customHeight="1">
      <c r="A50" s="181"/>
      <c r="B50" s="202" t="s">
        <v>353</v>
      </c>
      <c r="C50" s="268"/>
      <c r="D50" s="129">
        <f t="shared" si="0"/>
        <v>48000</v>
      </c>
      <c r="E50" s="203"/>
      <c r="F50" s="203">
        <v>48000</v>
      </c>
      <c r="G50" s="116"/>
      <c r="H50" s="116"/>
      <c r="I50" s="116"/>
      <c r="J50" s="116"/>
    </row>
    <row r="51" spans="1:10" s="76" customFormat="1" ht="21.9" customHeight="1">
      <c r="A51" s="181">
        <v>8</v>
      </c>
      <c r="B51" s="200" t="s">
        <v>158</v>
      </c>
      <c r="C51" s="201">
        <v>4</v>
      </c>
      <c r="D51" s="129">
        <f t="shared" si="0"/>
        <v>1064533.6000000001</v>
      </c>
      <c r="E51" s="129">
        <f>(70020+7971.5)*12+27046+E52</f>
        <v>1004053.6</v>
      </c>
      <c r="F51" s="129">
        <f t="shared" ref="F51:F65" si="1">C51*15120</f>
        <v>60480</v>
      </c>
      <c r="G51" s="116"/>
      <c r="H51" s="116"/>
      <c r="I51" s="116"/>
      <c r="J51" s="116"/>
    </row>
    <row r="52" spans="1:10" s="76" customFormat="1" ht="21.9" customHeight="1">
      <c r="A52" s="181"/>
      <c r="B52" s="202" t="s">
        <v>352</v>
      </c>
      <c r="C52" s="201"/>
      <c r="D52" s="129"/>
      <c r="E52" s="129">
        <f>(34258*12)*10%</f>
        <v>41109.600000000006</v>
      </c>
      <c r="F52" s="129"/>
      <c r="G52" s="116"/>
      <c r="H52" s="116"/>
      <c r="I52" s="116"/>
      <c r="J52" s="116"/>
    </row>
    <row r="53" spans="1:10" s="76" customFormat="1" ht="21.9" customHeight="1">
      <c r="A53" s="181">
        <v>9</v>
      </c>
      <c r="B53" s="200" t="s">
        <v>159</v>
      </c>
      <c r="C53" s="201">
        <v>8</v>
      </c>
      <c r="D53" s="129">
        <f t="shared" si="0"/>
        <v>2074846.4</v>
      </c>
      <c r="E53" s="129">
        <f>1728352+24664+105342+E54</f>
        <v>1953886.4</v>
      </c>
      <c r="F53" s="129">
        <f t="shared" si="1"/>
        <v>120960</v>
      </c>
      <c r="G53" s="116"/>
      <c r="H53" s="116"/>
      <c r="I53" s="116"/>
      <c r="J53" s="116"/>
    </row>
    <row r="54" spans="1:10" s="76" customFormat="1" ht="21.9" customHeight="1">
      <c r="A54" s="181"/>
      <c r="B54" s="202" t="s">
        <v>352</v>
      </c>
      <c r="C54" s="201"/>
      <c r="D54" s="129"/>
      <c r="E54" s="129">
        <f>(79607*12)*10%</f>
        <v>95528.400000000009</v>
      </c>
      <c r="F54" s="129"/>
      <c r="G54" s="116"/>
      <c r="H54" s="116"/>
      <c r="I54" s="116"/>
      <c r="J54" s="116"/>
    </row>
    <row r="55" spans="1:10" s="76" customFormat="1" ht="21.9" customHeight="1">
      <c r="A55" s="181">
        <v>10</v>
      </c>
      <c r="B55" s="200" t="s">
        <v>124</v>
      </c>
      <c r="C55" s="201">
        <v>7</v>
      </c>
      <c r="D55" s="129">
        <f t="shared" si="0"/>
        <v>1564177.44</v>
      </c>
      <c r="E55" s="129">
        <f>(90733.5+13889)*12+20502+4914+105342+E56</f>
        <v>1458337.44</v>
      </c>
      <c r="F55" s="129">
        <f t="shared" si="1"/>
        <v>105840</v>
      </c>
      <c r="G55" s="116"/>
      <c r="H55" s="116"/>
      <c r="I55" s="116"/>
      <c r="J55" s="116"/>
    </row>
    <row r="56" spans="1:10" s="76" customFormat="1" ht="21.9" customHeight="1">
      <c r="A56" s="181"/>
      <c r="B56" s="202" t="s">
        <v>352</v>
      </c>
      <c r="C56" s="201"/>
      <c r="D56" s="129"/>
      <c r="E56" s="129">
        <f>(25.68*2340*12)*10%</f>
        <v>72109.439999999988</v>
      </c>
      <c r="F56" s="129"/>
      <c r="G56" s="116"/>
      <c r="H56" s="116"/>
      <c r="I56" s="116"/>
      <c r="J56" s="116"/>
    </row>
    <row r="57" spans="1:10" s="76" customFormat="1" ht="21.9" customHeight="1">
      <c r="A57" s="181">
        <v>11</v>
      </c>
      <c r="B57" s="200" t="s">
        <v>160</v>
      </c>
      <c r="C57" s="201">
        <v>8</v>
      </c>
      <c r="D57" s="129">
        <f t="shared" si="0"/>
        <v>2110234</v>
      </c>
      <c r="E57" s="129">
        <f>1770014+14446+105342+E58</f>
        <v>1964274</v>
      </c>
      <c r="F57" s="129">
        <f>C57*15120+25000</f>
        <v>145960</v>
      </c>
      <c r="G57" s="116"/>
      <c r="H57" s="116"/>
      <c r="I57" s="269"/>
      <c r="J57" s="116"/>
    </row>
    <row r="58" spans="1:10" s="76" customFormat="1" ht="21.9" customHeight="1">
      <c r="A58" s="181"/>
      <c r="B58" s="202" t="s">
        <v>352</v>
      </c>
      <c r="C58" s="201"/>
      <c r="D58" s="129"/>
      <c r="E58" s="129">
        <f>(62060*12)*10%</f>
        <v>74472</v>
      </c>
      <c r="F58" s="129"/>
      <c r="G58" s="116"/>
      <c r="H58" s="116"/>
      <c r="I58" s="269"/>
      <c r="J58" s="116"/>
    </row>
    <row r="59" spans="1:10" s="76" customFormat="1" ht="21.9" customHeight="1">
      <c r="A59" s="181"/>
      <c r="B59" s="202" t="s">
        <v>351</v>
      </c>
      <c r="C59" s="268"/>
      <c r="D59" s="203"/>
      <c r="E59" s="203"/>
      <c r="F59" s="203">
        <v>25000</v>
      </c>
      <c r="G59" s="116"/>
      <c r="H59" s="116"/>
      <c r="I59" s="269"/>
      <c r="J59" s="116"/>
    </row>
    <row r="60" spans="1:10" s="76" customFormat="1" ht="21.9" customHeight="1">
      <c r="A60" s="181">
        <v>12</v>
      </c>
      <c r="B60" s="200" t="s">
        <v>161</v>
      </c>
      <c r="C60" s="201">
        <v>3</v>
      </c>
      <c r="D60" s="129">
        <f t="shared" si="0"/>
        <v>822089</v>
      </c>
      <c r="E60" s="270">
        <f>(52507.5+5217+895+597)*12+31199+E61</f>
        <v>776729</v>
      </c>
      <c r="F60" s="129">
        <f t="shared" si="1"/>
        <v>45360</v>
      </c>
      <c r="G60" s="116"/>
      <c r="H60" s="116"/>
      <c r="I60" s="116"/>
      <c r="J60" s="116"/>
    </row>
    <row r="61" spans="1:10" s="76" customFormat="1" ht="21.9" customHeight="1">
      <c r="A61" s="181"/>
      <c r="B61" s="202" t="s">
        <v>352</v>
      </c>
      <c r="C61" s="201"/>
      <c r="D61" s="129"/>
      <c r="E61" s="270">
        <f>(29110*12)*10%</f>
        <v>34932</v>
      </c>
      <c r="F61" s="129"/>
      <c r="G61" s="116"/>
      <c r="H61" s="116"/>
      <c r="I61" s="116"/>
      <c r="J61" s="116"/>
    </row>
    <row r="62" spans="1:10" s="76" customFormat="1" ht="18.899999999999999" customHeight="1">
      <c r="A62" s="181">
        <v>13</v>
      </c>
      <c r="B62" s="200" t="s">
        <v>162</v>
      </c>
      <c r="C62" s="201">
        <v>5</v>
      </c>
      <c r="D62" s="129">
        <f t="shared" si="0"/>
        <v>1377746.4</v>
      </c>
      <c r="E62" s="129">
        <f>102285*12+E63</f>
        <v>1287146.3999999999</v>
      </c>
      <c r="F62" s="129">
        <f>C62*15120+F64</f>
        <v>90600</v>
      </c>
      <c r="G62" s="116"/>
      <c r="H62" s="116"/>
      <c r="I62" s="116"/>
      <c r="J62" s="116"/>
    </row>
    <row r="63" spans="1:10" s="76" customFormat="1" ht="18.899999999999999" customHeight="1">
      <c r="A63" s="181"/>
      <c r="B63" s="202" t="s">
        <v>352</v>
      </c>
      <c r="C63" s="201"/>
      <c r="D63" s="129"/>
      <c r="E63" s="129">
        <f>(49772*12*10%)</f>
        <v>59726.400000000001</v>
      </c>
      <c r="F63" s="129"/>
      <c r="G63" s="116"/>
      <c r="H63" s="116"/>
      <c r="I63" s="116"/>
      <c r="J63" s="116"/>
    </row>
    <row r="64" spans="1:10" s="76" customFormat="1" ht="18.899999999999999" customHeight="1">
      <c r="A64" s="181"/>
      <c r="B64" s="202" t="s">
        <v>351</v>
      </c>
      <c r="C64" s="201"/>
      <c r="D64" s="129"/>
      <c r="E64" s="129"/>
      <c r="F64" s="203">
        <v>15000</v>
      </c>
      <c r="G64" s="116"/>
      <c r="H64" s="116"/>
      <c r="I64" s="116"/>
      <c r="J64" s="116"/>
    </row>
    <row r="65" spans="1:11" s="76" customFormat="1" ht="21.9" customHeight="1">
      <c r="A65" s="181">
        <v>14</v>
      </c>
      <c r="B65" s="200" t="s">
        <v>163</v>
      </c>
      <c r="C65" s="201">
        <v>4</v>
      </c>
      <c r="D65" s="129">
        <f t="shared" si="0"/>
        <v>685533.6</v>
      </c>
      <c r="E65" s="129">
        <f>(43514+4665+800+533)*12+E66</f>
        <v>625053.6</v>
      </c>
      <c r="F65" s="129">
        <f t="shared" si="1"/>
        <v>60480</v>
      </c>
      <c r="G65" s="263"/>
      <c r="H65" s="116"/>
      <c r="I65" s="116"/>
      <c r="J65" s="116"/>
    </row>
    <row r="66" spans="1:11" s="76" customFormat="1" ht="21.9" customHeight="1">
      <c r="A66" s="181"/>
      <c r="B66" s="202" t="s">
        <v>352</v>
      </c>
      <c r="C66" s="201"/>
      <c r="D66" s="129"/>
      <c r="E66" s="129">
        <f>(25758*12)*10%</f>
        <v>30909.600000000002</v>
      </c>
      <c r="F66" s="129"/>
      <c r="G66" s="265"/>
      <c r="H66" s="116"/>
      <c r="I66" s="116"/>
      <c r="J66" s="116"/>
    </row>
    <row r="67" spans="1:11" s="76" customFormat="1" ht="21.9" customHeight="1">
      <c r="A67" s="181">
        <v>15</v>
      </c>
      <c r="B67" s="200" t="s">
        <v>164</v>
      </c>
      <c r="C67" s="201">
        <v>6</v>
      </c>
      <c r="D67" s="129">
        <f t="shared" si="0"/>
        <v>2378003.6</v>
      </c>
      <c r="E67" s="129">
        <f>SUM(E68:E71)</f>
        <v>1797283.6</v>
      </c>
      <c r="F67" s="129">
        <f>SUM(F68:F76)</f>
        <v>580720</v>
      </c>
      <c r="G67" s="269"/>
      <c r="H67" s="116"/>
      <c r="I67" s="116"/>
      <c r="J67" s="116"/>
    </row>
    <row r="68" spans="1:11" s="76" customFormat="1" ht="21.9" customHeight="1">
      <c r="A68" s="181"/>
      <c r="B68" s="200" t="s">
        <v>165</v>
      </c>
      <c r="C68" s="268"/>
      <c r="D68" s="129">
        <f t="shared" si="0"/>
        <v>1716784</v>
      </c>
      <c r="E68" s="203">
        <f>1560855+50587+105342</f>
        <v>1716784</v>
      </c>
      <c r="F68" s="203"/>
      <c r="G68" s="271"/>
      <c r="H68" s="116"/>
      <c r="I68" s="116"/>
      <c r="J68" s="116"/>
      <c r="K68" s="49"/>
    </row>
    <row r="69" spans="1:11" s="76" customFormat="1" ht="21" customHeight="1">
      <c r="A69" s="181"/>
      <c r="B69" s="202" t="s">
        <v>354</v>
      </c>
      <c r="C69" s="268"/>
      <c r="D69" s="129">
        <f t="shared" si="0"/>
        <v>56019.600000000006</v>
      </c>
      <c r="E69" s="203">
        <f>(46683*12)*10%</f>
        <v>56019.600000000006</v>
      </c>
      <c r="F69" s="203"/>
      <c r="G69" s="271"/>
      <c r="H69" s="116"/>
      <c r="I69" s="116"/>
      <c r="J69" s="116"/>
    </row>
    <row r="70" spans="1:11" s="76" customFormat="1" ht="21.9" customHeight="1">
      <c r="A70" s="181"/>
      <c r="B70" s="200" t="s">
        <v>166</v>
      </c>
      <c r="C70" s="268"/>
      <c r="D70" s="129">
        <f t="shared" si="0"/>
        <v>24480</v>
      </c>
      <c r="E70" s="203">
        <v>24480</v>
      </c>
      <c r="F70" s="203"/>
      <c r="G70" s="271"/>
      <c r="H70" s="116"/>
      <c r="I70" s="116"/>
      <c r="J70" s="116"/>
    </row>
    <row r="71" spans="1:11" s="76" customFormat="1" ht="21.9" customHeight="1">
      <c r="A71" s="181"/>
      <c r="B71" s="200" t="s">
        <v>167</v>
      </c>
      <c r="C71" s="268"/>
      <c r="D71" s="129">
        <f t="shared" si="0"/>
        <v>70000</v>
      </c>
      <c r="E71" s="203"/>
      <c r="F71" s="203">
        <v>70000</v>
      </c>
      <c r="G71" s="271"/>
      <c r="H71" s="116"/>
      <c r="I71" s="116"/>
      <c r="J71" s="116"/>
    </row>
    <row r="72" spans="1:11" s="76" customFormat="1" ht="21.9" customHeight="1">
      <c r="A72" s="181"/>
      <c r="B72" s="200" t="s">
        <v>145</v>
      </c>
      <c r="C72" s="268"/>
      <c r="D72" s="129">
        <f t="shared" si="0"/>
        <v>90720</v>
      </c>
      <c r="E72" s="203"/>
      <c r="F72" s="203">
        <f>C67*15120</f>
        <v>90720</v>
      </c>
      <c r="G72" s="271"/>
      <c r="H72" s="116"/>
      <c r="I72" s="116"/>
      <c r="J72" s="116"/>
    </row>
    <row r="73" spans="1:11" s="76" customFormat="1" ht="21.9" customHeight="1">
      <c r="A73" s="181"/>
      <c r="B73" s="200" t="s">
        <v>170</v>
      </c>
      <c r="C73" s="268"/>
      <c r="D73" s="129">
        <f t="shared" si="0"/>
        <v>10000</v>
      </c>
      <c r="E73" s="203"/>
      <c r="F73" s="203">
        <v>10000</v>
      </c>
      <c r="G73" s="271"/>
      <c r="H73" s="116"/>
      <c r="I73" s="116"/>
      <c r="J73" s="116"/>
    </row>
    <row r="74" spans="1:11" s="76" customFormat="1" ht="21.9" customHeight="1">
      <c r="A74" s="181"/>
      <c r="B74" s="200" t="s">
        <v>148</v>
      </c>
      <c r="C74" s="268"/>
      <c r="D74" s="129">
        <f t="shared" si="0"/>
        <v>40000</v>
      </c>
      <c r="E74" s="203"/>
      <c r="F74" s="203">
        <v>40000</v>
      </c>
      <c r="G74" s="271"/>
      <c r="H74" s="116"/>
      <c r="I74" s="116"/>
      <c r="J74" s="116"/>
    </row>
    <row r="75" spans="1:11" s="76" customFormat="1" ht="21.9" customHeight="1">
      <c r="A75" s="181"/>
      <c r="B75" s="200" t="s">
        <v>344</v>
      </c>
      <c r="C75" s="268"/>
      <c r="D75" s="129">
        <f t="shared" si="0"/>
        <v>20000</v>
      </c>
      <c r="E75" s="203"/>
      <c r="F75" s="203">
        <v>20000</v>
      </c>
      <c r="G75" s="271"/>
      <c r="H75" s="116"/>
      <c r="I75" s="116"/>
      <c r="J75" s="116"/>
    </row>
    <row r="76" spans="1:11" s="76" customFormat="1" ht="21.9" customHeight="1">
      <c r="A76" s="181"/>
      <c r="B76" s="200" t="s">
        <v>168</v>
      </c>
      <c r="C76" s="268"/>
      <c r="D76" s="129">
        <f t="shared" si="0"/>
        <v>350000</v>
      </c>
      <c r="E76" s="203"/>
      <c r="F76" s="203">
        <v>350000</v>
      </c>
      <c r="G76" s="116"/>
      <c r="H76" s="116"/>
      <c r="I76" s="116"/>
      <c r="J76" s="116"/>
    </row>
    <row r="77" spans="1:11" s="76" customFormat="1" ht="21.9" customHeight="1">
      <c r="A77" s="181">
        <v>16</v>
      </c>
      <c r="B77" s="200" t="s">
        <v>169</v>
      </c>
      <c r="C77" s="201">
        <v>4</v>
      </c>
      <c r="D77" s="129">
        <f t="shared" si="0"/>
        <v>1068448.2</v>
      </c>
      <c r="E77" s="129">
        <f>929504+30837+E78</f>
        <v>997968.2</v>
      </c>
      <c r="F77" s="129">
        <f>C77*15120+F78+F79</f>
        <v>70480</v>
      </c>
      <c r="G77" s="116"/>
      <c r="H77" s="116"/>
      <c r="I77" s="116"/>
      <c r="J77" s="116"/>
    </row>
    <row r="78" spans="1:11" s="76" customFormat="1" ht="21.9" customHeight="1">
      <c r="A78" s="181"/>
      <c r="B78" s="202" t="s">
        <v>352</v>
      </c>
      <c r="C78" s="201"/>
      <c r="D78" s="129">
        <f t="shared" si="0"/>
        <v>37627.200000000004</v>
      </c>
      <c r="E78" s="129">
        <f>31356*12*10%</f>
        <v>37627.200000000004</v>
      </c>
      <c r="F78" s="129"/>
      <c r="G78" s="116"/>
      <c r="H78" s="116"/>
      <c r="I78" s="116"/>
      <c r="J78" s="116"/>
    </row>
    <row r="79" spans="1:11" s="76" customFormat="1" ht="21.9" customHeight="1">
      <c r="A79" s="181"/>
      <c r="B79" s="202" t="s">
        <v>170</v>
      </c>
      <c r="C79" s="201"/>
      <c r="D79" s="129">
        <f t="shared" si="0"/>
        <v>10000</v>
      </c>
      <c r="E79" s="129"/>
      <c r="F79" s="129">
        <v>10000</v>
      </c>
      <c r="G79" s="116"/>
      <c r="H79" s="116"/>
      <c r="I79" s="116"/>
      <c r="J79" s="116"/>
    </row>
    <row r="80" spans="1:11" s="76" customFormat="1" ht="21.9" customHeight="1">
      <c r="A80" s="181">
        <v>17</v>
      </c>
      <c r="B80" s="200" t="s">
        <v>171</v>
      </c>
      <c r="C80" s="201">
        <v>4</v>
      </c>
      <c r="D80" s="129">
        <f t="shared" si="0"/>
        <v>1369410.8</v>
      </c>
      <c r="E80" s="129">
        <f>1251784+E81</f>
        <v>1298930.8</v>
      </c>
      <c r="F80" s="129">
        <f>C80*15120+F81+F82</f>
        <v>70480</v>
      </c>
      <c r="G80" s="116"/>
      <c r="H80" s="116"/>
      <c r="I80" s="116"/>
      <c r="J80" s="116"/>
    </row>
    <row r="81" spans="1:11" s="76" customFormat="1" ht="21.9" customHeight="1">
      <c r="A81" s="181"/>
      <c r="B81" s="202" t="s">
        <v>352</v>
      </c>
      <c r="C81" s="201"/>
      <c r="D81" s="129">
        <f t="shared" si="0"/>
        <v>47146.8</v>
      </c>
      <c r="E81" s="129">
        <f>(39289*12*10%)</f>
        <v>47146.8</v>
      </c>
      <c r="F81" s="129"/>
      <c r="G81" s="116"/>
      <c r="H81" s="116"/>
      <c r="I81" s="116"/>
      <c r="J81" s="116"/>
    </row>
    <row r="82" spans="1:11" s="76" customFormat="1" ht="20.25" customHeight="1">
      <c r="A82" s="181"/>
      <c r="B82" s="202" t="s">
        <v>170</v>
      </c>
      <c r="C82" s="201"/>
      <c r="D82" s="129">
        <f t="shared" si="0"/>
        <v>10000</v>
      </c>
      <c r="E82" s="129"/>
      <c r="F82" s="129">
        <v>10000</v>
      </c>
      <c r="G82" s="116"/>
      <c r="H82" s="116"/>
      <c r="I82" s="116"/>
      <c r="J82" s="116"/>
    </row>
    <row r="83" spans="1:11" s="76" customFormat="1" ht="20.25" customHeight="1">
      <c r="A83" s="181">
        <v>18</v>
      </c>
      <c r="B83" s="200" t="s">
        <v>172</v>
      </c>
      <c r="C83" s="201">
        <v>4</v>
      </c>
      <c r="D83" s="129">
        <f t="shared" si="0"/>
        <v>1532330.8</v>
      </c>
      <c r="E83" s="129">
        <f>1348315+41925+E84</f>
        <v>1441850.8</v>
      </c>
      <c r="F83" s="129">
        <f>C83*15120+F84+F85+F86</f>
        <v>90480</v>
      </c>
      <c r="G83" s="116"/>
      <c r="H83" s="116"/>
      <c r="I83" s="116"/>
      <c r="J83" s="116"/>
    </row>
    <row r="84" spans="1:11" s="76" customFormat="1" ht="20.25" customHeight="1">
      <c r="A84" s="181"/>
      <c r="B84" s="202" t="s">
        <v>352</v>
      </c>
      <c r="C84" s="201"/>
      <c r="D84" s="129">
        <f t="shared" si="0"/>
        <v>51610.8</v>
      </c>
      <c r="E84" s="129">
        <f>(43009*12*10%)</f>
        <v>51610.8</v>
      </c>
      <c r="F84" s="129"/>
      <c r="G84" s="116"/>
      <c r="H84" s="116"/>
      <c r="I84" s="116"/>
      <c r="J84" s="116"/>
    </row>
    <row r="85" spans="1:11" s="76" customFormat="1" ht="21.9" customHeight="1">
      <c r="A85" s="181"/>
      <c r="B85" s="202" t="s">
        <v>170</v>
      </c>
      <c r="C85" s="201"/>
      <c r="D85" s="129">
        <f t="shared" si="0"/>
        <v>10000</v>
      </c>
      <c r="E85" s="129"/>
      <c r="F85" s="129">
        <v>10000</v>
      </c>
      <c r="G85" s="116"/>
      <c r="H85" s="116"/>
      <c r="I85" s="116"/>
      <c r="J85" s="116"/>
    </row>
    <row r="86" spans="1:11" s="76" customFormat="1" ht="21.9" customHeight="1">
      <c r="A86" s="181"/>
      <c r="B86" s="272" t="s">
        <v>344</v>
      </c>
      <c r="C86" s="201"/>
      <c r="D86" s="129">
        <f t="shared" si="0"/>
        <v>20000</v>
      </c>
      <c r="E86" s="129"/>
      <c r="F86" s="129">
        <v>20000</v>
      </c>
      <c r="G86" s="116"/>
      <c r="H86" s="116"/>
      <c r="I86" s="116"/>
      <c r="J86" s="116"/>
    </row>
    <row r="87" spans="1:11" s="76" customFormat="1" ht="21.9" customHeight="1">
      <c r="A87" s="181">
        <v>19</v>
      </c>
      <c r="B87" s="200" t="s">
        <v>287</v>
      </c>
      <c r="C87" s="201">
        <v>3</v>
      </c>
      <c r="D87" s="129">
        <f t="shared" si="0"/>
        <v>891177.8</v>
      </c>
      <c r="E87" s="129">
        <f>806839+E88</f>
        <v>835817.8</v>
      </c>
      <c r="F87" s="129">
        <f>C87*15120+F88+F89</f>
        <v>55360</v>
      </c>
      <c r="G87" s="116"/>
      <c r="H87" s="116"/>
      <c r="I87" s="116"/>
      <c r="J87" s="116"/>
    </row>
    <row r="88" spans="1:11" s="76" customFormat="1" ht="21.9" customHeight="1">
      <c r="A88" s="181"/>
      <c r="B88" s="202" t="s">
        <v>352</v>
      </c>
      <c r="C88" s="201"/>
      <c r="D88" s="129">
        <f t="shared" si="0"/>
        <v>28978.800000000003</v>
      </c>
      <c r="E88" s="129">
        <f>24149*12*10%</f>
        <v>28978.800000000003</v>
      </c>
      <c r="F88" s="129"/>
      <c r="G88" s="116"/>
      <c r="H88" s="116"/>
      <c r="I88" s="116"/>
      <c r="J88" s="116"/>
    </row>
    <row r="89" spans="1:11" s="76" customFormat="1" ht="21.9" customHeight="1">
      <c r="A89" s="181"/>
      <c r="B89" s="200" t="s">
        <v>170</v>
      </c>
      <c r="C89" s="201"/>
      <c r="D89" s="129">
        <f t="shared" si="0"/>
        <v>10000</v>
      </c>
      <c r="E89" s="129"/>
      <c r="F89" s="129">
        <v>10000</v>
      </c>
      <c r="G89" s="269"/>
      <c r="H89" s="116"/>
      <c r="I89" s="116"/>
      <c r="J89" s="116"/>
    </row>
    <row r="90" spans="1:11" s="76" customFormat="1" ht="21.9" customHeight="1">
      <c r="A90" s="181">
        <v>20</v>
      </c>
      <c r="B90" s="200" t="s">
        <v>173</v>
      </c>
      <c r="C90" s="201">
        <v>4</v>
      </c>
      <c r="D90" s="129">
        <f t="shared" si="0"/>
        <v>376040</v>
      </c>
      <c r="E90" s="129">
        <v>356040</v>
      </c>
      <c r="F90" s="129">
        <v>20000</v>
      </c>
      <c r="G90" s="116"/>
      <c r="H90" s="116"/>
      <c r="I90" s="116"/>
      <c r="J90" s="116"/>
    </row>
    <row r="91" spans="1:11" s="76" customFormat="1" ht="21.9" customHeight="1">
      <c r="A91" s="181">
        <v>21</v>
      </c>
      <c r="B91" s="200" t="s">
        <v>174</v>
      </c>
      <c r="C91" s="201">
        <v>2</v>
      </c>
      <c r="D91" s="129">
        <f t="shared" si="0"/>
        <v>194376</v>
      </c>
      <c r="E91" s="129">
        <v>184376</v>
      </c>
      <c r="F91" s="129">
        <v>10000</v>
      </c>
      <c r="G91" s="116"/>
      <c r="H91" s="116"/>
      <c r="I91" s="116"/>
      <c r="J91" s="116"/>
    </row>
    <row r="92" spans="1:11" s="76" customFormat="1" ht="21.9" customHeight="1">
      <c r="A92" s="181">
        <v>22</v>
      </c>
      <c r="B92" s="200" t="s">
        <v>298</v>
      </c>
      <c r="C92" s="201">
        <v>1</v>
      </c>
      <c r="D92" s="129">
        <f t="shared" si="0"/>
        <v>10000</v>
      </c>
      <c r="E92" s="129"/>
      <c r="F92" s="129">
        <v>10000</v>
      </c>
      <c r="G92" s="273"/>
      <c r="H92" s="116"/>
      <c r="I92" s="116"/>
      <c r="J92" s="116"/>
    </row>
    <row r="93" spans="1:11" s="81" customFormat="1" ht="21.75" customHeight="1">
      <c r="A93" s="181">
        <v>23</v>
      </c>
      <c r="B93" s="200" t="s">
        <v>175</v>
      </c>
      <c r="C93" s="201">
        <v>1</v>
      </c>
      <c r="D93" s="129">
        <f t="shared" ref="D93:D103" si="2">E93+F93</f>
        <v>72899.200000000012</v>
      </c>
      <c r="E93" s="129">
        <f>2.24*2340*12</f>
        <v>62899.200000000004</v>
      </c>
      <c r="F93" s="129">
        <v>10000</v>
      </c>
      <c r="G93" s="274"/>
      <c r="H93" s="275"/>
      <c r="I93" s="275"/>
      <c r="J93" s="275"/>
    </row>
    <row r="94" spans="1:11" s="81" customFormat="1" ht="21.75" customHeight="1">
      <c r="A94" s="181">
        <v>24</v>
      </c>
      <c r="B94" s="276" t="s">
        <v>176</v>
      </c>
      <c r="C94" s="277">
        <v>1</v>
      </c>
      <c r="D94" s="129">
        <f t="shared" si="2"/>
        <v>72899.200000000012</v>
      </c>
      <c r="E94" s="129">
        <f>2.24*2340*12</f>
        <v>62899.200000000004</v>
      </c>
      <c r="F94" s="129">
        <v>10000</v>
      </c>
      <c r="G94" s="274"/>
      <c r="H94" s="278"/>
      <c r="I94" s="278"/>
      <c r="J94" s="278"/>
    </row>
    <row r="95" spans="1:11" s="81" customFormat="1" ht="21.75" customHeight="1">
      <c r="A95" s="181">
        <v>25</v>
      </c>
      <c r="B95" s="276" t="s">
        <v>177</v>
      </c>
      <c r="C95" s="277">
        <v>2</v>
      </c>
      <c r="D95" s="129">
        <f t="shared" si="2"/>
        <v>127936</v>
      </c>
      <c r="E95" s="129">
        <f>9828*12</f>
        <v>117936</v>
      </c>
      <c r="F95" s="129">
        <v>10000</v>
      </c>
      <c r="G95" s="274"/>
      <c r="H95" s="278"/>
      <c r="I95" s="278"/>
      <c r="J95" s="278"/>
    </row>
    <row r="96" spans="1:11" s="81" customFormat="1" ht="21.75" customHeight="1">
      <c r="A96" s="181">
        <v>26</v>
      </c>
      <c r="B96" s="276" t="s">
        <v>214</v>
      </c>
      <c r="C96" s="277">
        <v>2</v>
      </c>
      <c r="D96" s="129">
        <f t="shared" si="2"/>
        <v>127936</v>
      </c>
      <c r="E96" s="129">
        <f>(2.24+1.96)*2340*12</f>
        <v>117936</v>
      </c>
      <c r="F96" s="129">
        <v>10000</v>
      </c>
      <c r="G96" s="274"/>
      <c r="H96" s="278"/>
      <c r="I96" s="278"/>
      <c r="J96" s="278"/>
      <c r="K96" s="153"/>
    </row>
    <row r="97" spans="1:12" s="81" customFormat="1" ht="24" customHeight="1">
      <c r="A97" s="181">
        <v>27</v>
      </c>
      <c r="B97" s="276" t="s">
        <v>286</v>
      </c>
      <c r="C97" s="277"/>
      <c r="D97" s="129">
        <f t="shared" si="2"/>
        <v>200000</v>
      </c>
      <c r="E97" s="129"/>
      <c r="F97" s="129">
        <v>200000</v>
      </c>
      <c r="G97" s="279"/>
      <c r="H97" s="280"/>
      <c r="I97" s="280"/>
      <c r="J97" s="278"/>
      <c r="K97" s="153"/>
    </row>
    <row r="98" spans="1:12" s="81" customFormat="1" ht="21.75" customHeight="1">
      <c r="A98" s="181">
        <v>28</v>
      </c>
      <c r="B98" s="281" t="s">
        <v>294</v>
      </c>
      <c r="C98" s="277">
        <v>5</v>
      </c>
      <c r="D98" s="129">
        <f t="shared" si="2"/>
        <v>953250.8</v>
      </c>
      <c r="E98" s="129">
        <f>809000+10806+E99</f>
        <v>877650.8</v>
      </c>
      <c r="F98" s="129">
        <f>C98*15120</f>
        <v>75600</v>
      </c>
      <c r="G98" s="279"/>
      <c r="H98" s="280"/>
      <c r="I98" s="280"/>
      <c r="J98" s="278"/>
      <c r="K98" s="154"/>
    </row>
    <row r="99" spans="1:12" s="81" customFormat="1" ht="21.75" customHeight="1">
      <c r="A99" s="181"/>
      <c r="B99" s="202" t="s">
        <v>352</v>
      </c>
      <c r="C99" s="277"/>
      <c r="D99" s="129"/>
      <c r="E99" s="129">
        <f>(48204*12)*10%</f>
        <v>57844.800000000003</v>
      </c>
      <c r="F99" s="129"/>
      <c r="G99" s="279"/>
      <c r="H99" s="280"/>
      <c r="I99" s="280"/>
      <c r="J99" s="278"/>
      <c r="K99" s="154"/>
    </row>
    <row r="100" spans="1:12" s="81" customFormat="1" ht="21.75" customHeight="1">
      <c r="A100" s="181">
        <v>29</v>
      </c>
      <c r="B100" s="281" t="s">
        <v>225</v>
      </c>
      <c r="C100" s="277">
        <v>2</v>
      </c>
      <c r="D100" s="129">
        <f t="shared" si="2"/>
        <v>805519.2</v>
      </c>
      <c r="E100" s="129">
        <f>697095+37793+8424+E101</f>
        <v>771279.2</v>
      </c>
      <c r="F100" s="129">
        <f>C100*15120+4000</f>
        <v>34240</v>
      </c>
      <c r="G100" s="279"/>
      <c r="H100" s="280"/>
      <c r="I100" s="280"/>
      <c r="J100" s="278"/>
      <c r="K100" s="154"/>
    </row>
    <row r="101" spans="1:12" s="81" customFormat="1" ht="21.75" customHeight="1">
      <c r="A101" s="181"/>
      <c r="B101" s="202" t="s">
        <v>352</v>
      </c>
      <c r="C101" s="277"/>
      <c r="D101" s="129"/>
      <c r="E101" s="129">
        <f>(23306*12)*10%</f>
        <v>27967.200000000001</v>
      </c>
      <c r="F101" s="129"/>
      <c r="G101" s="279"/>
      <c r="H101" s="280"/>
      <c r="I101" s="280"/>
      <c r="J101" s="278"/>
      <c r="K101" s="154"/>
    </row>
    <row r="102" spans="1:12" s="61" customFormat="1" ht="19.2" customHeight="1">
      <c r="A102" s="181">
        <v>30</v>
      </c>
      <c r="B102" s="281" t="s">
        <v>178</v>
      </c>
      <c r="C102" s="277"/>
      <c r="D102" s="129">
        <f t="shared" si="2"/>
        <v>200000</v>
      </c>
      <c r="E102" s="129"/>
      <c r="F102" s="129">
        <v>200000</v>
      </c>
      <c r="G102" s="279"/>
      <c r="H102" s="280"/>
      <c r="I102" s="273"/>
      <c r="J102" s="206"/>
    </row>
    <row r="103" spans="1:12" s="61" customFormat="1" ht="21" customHeight="1">
      <c r="A103" s="181">
        <v>31</v>
      </c>
      <c r="B103" s="281" t="s">
        <v>317</v>
      </c>
      <c r="C103" s="277"/>
      <c r="D103" s="129">
        <f t="shared" si="2"/>
        <v>200000</v>
      </c>
      <c r="E103" s="129"/>
      <c r="F103" s="129">
        <v>200000</v>
      </c>
      <c r="G103" s="279"/>
      <c r="H103" s="280"/>
      <c r="I103" s="273"/>
      <c r="J103" s="206"/>
    </row>
    <row r="104" spans="1:12" s="61" customFormat="1" ht="31.2" customHeight="1">
      <c r="A104" s="181">
        <v>32</v>
      </c>
      <c r="B104" s="281" t="s">
        <v>323</v>
      </c>
      <c r="C104" s="277"/>
      <c r="D104" s="129">
        <f>E104</f>
        <v>622188</v>
      </c>
      <c r="E104" s="129">
        <f>558188+64000</f>
        <v>622188</v>
      </c>
      <c r="F104" s="129"/>
      <c r="G104" s="282"/>
      <c r="H104" s="283"/>
      <c r="I104" s="283"/>
      <c r="J104" s="283"/>
      <c r="K104" s="101"/>
      <c r="L104" s="101"/>
    </row>
    <row r="105" spans="1:12" s="61" customFormat="1" ht="19.8" customHeight="1">
      <c r="A105" s="181">
        <v>33</v>
      </c>
      <c r="B105" s="281" t="s">
        <v>280</v>
      </c>
      <c r="C105" s="277"/>
      <c r="D105" s="129">
        <f>E105+F105</f>
        <v>707000</v>
      </c>
      <c r="E105" s="129"/>
      <c r="F105" s="129">
        <v>707000</v>
      </c>
      <c r="G105" s="282"/>
      <c r="H105" s="283"/>
      <c r="I105" s="283"/>
      <c r="J105" s="283"/>
      <c r="K105" s="101"/>
      <c r="L105" s="101"/>
    </row>
    <row r="106" spans="1:12" s="62" customFormat="1" ht="21.75" customHeight="1">
      <c r="A106" s="284"/>
      <c r="B106" s="285" t="s">
        <v>84</v>
      </c>
      <c r="C106" s="298"/>
      <c r="D106" s="204">
        <f>D8+D26+D37+D41+D43+D46+D48+D51+D53+D55+D57+D60+D62+D65+D67+D77+D80+D83+D87+D90+D91+D92+D93+D94+D95+D96+D97+D98+D100+D102+D103+D104+D105</f>
        <v>51658890.960000001</v>
      </c>
      <c r="E106" s="204">
        <f>E8+E26+E37+E41+E43+E46+E48+E51+E53+E55+E57+E60+E62+E65+E67+E77+E80+E83+E87+E90+E91+E92+E93+E94+E95+E96+E97+E98+E100+E102+E103+E104+E105</f>
        <v>42977490.960000001</v>
      </c>
      <c r="F106" s="204">
        <f>F8+F26+F37+F41+F43+F46+F48+F51+F53+F55+F57+F60+F62+F65+F67+F77+F80+F83+F87+F90+F91+F92+F93+F94+F95+F96+F97+F98+F100+F102+F103+F104+F105</f>
        <v>8681400</v>
      </c>
      <c r="G106" s="286"/>
      <c r="H106" s="287"/>
      <c r="I106" s="287"/>
      <c r="J106" s="287"/>
    </row>
    <row r="107" spans="1:12" ht="20.100000000000001" customHeight="1">
      <c r="A107" s="329" t="s">
        <v>179</v>
      </c>
      <c r="B107" s="329"/>
      <c r="C107" s="329"/>
      <c r="D107" s="329"/>
      <c r="E107" s="329"/>
      <c r="F107" s="329"/>
      <c r="G107" s="269"/>
      <c r="H107" s="116"/>
      <c r="I107" s="116"/>
      <c r="J107" s="116"/>
    </row>
    <row r="108" spans="1:12" ht="20.100000000000001" customHeight="1">
      <c r="A108" s="299" t="s">
        <v>345</v>
      </c>
      <c r="B108" s="299"/>
      <c r="C108" s="299"/>
      <c r="D108" s="299"/>
      <c r="E108" s="299"/>
      <c r="F108" s="299"/>
      <c r="G108" s="269"/>
      <c r="H108" s="116"/>
      <c r="I108" s="116"/>
      <c r="J108" s="116"/>
    </row>
    <row r="109" spans="1:12" ht="20.100000000000001" customHeight="1">
      <c r="A109" s="299" t="s">
        <v>346</v>
      </c>
      <c r="B109" s="299"/>
      <c r="C109" s="299"/>
      <c r="D109" s="299"/>
      <c r="E109" s="299"/>
      <c r="F109" s="299"/>
      <c r="G109" s="269"/>
      <c r="H109" s="116"/>
      <c r="I109" s="116"/>
      <c r="J109" s="116"/>
      <c r="K109" s="51"/>
    </row>
    <row r="110" spans="1:12" ht="20.100000000000001" customHeight="1">
      <c r="A110" s="299" t="s">
        <v>347</v>
      </c>
      <c r="B110" s="299"/>
      <c r="C110" s="299"/>
      <c r="D110" s="299"/>
      <c r="E110" s="299"/>
      <c r="F110" s="299"/>
      <c r="G110" s="116"/>
      <c r="H110" s="116"/>
      <c r="I110" s="116"/>
      <c r="J110" s="116"/>
    </row>
    <row r="111" spans="1:12" ht="20.100000000000001" customHeight="1">
      <c r="A111" s="299" t="s">
        <v>192</v>
      </c>
      <c r="B111" s="299"/>
      <c r="C111" s="299"/>
      <c r="D111" s="299"/>
      <c r="E111" s="299"/>
      <c r="F111" s="299"/>
      <c r="G111" s="269"/>
      <c r="H111" s="116"/>
      <c r="I111" s="116"/>
      <c r="J111" s="116"/>
    </row>
    <row r="112" spans="1:12" ht="18.75" customHeight="1">
      <c r="A112" s="326"/>
      <c r="B112" s="326"/>
      <c r="C112" s="326"/>
      <c r="D112" s="326"/>
      <c r="E112" s="326"/>
      <c r="F112" s="326"/>
    </row>
    <row r="115" spans="4:6">
      <c r="D115" s="51"/>
      <c r="E115" s="51"/>
      <c r="F115" s="51"/>
    </row>
  </sheetData>
  <mergeCells count="12">
    <mergeCell ref="E1:F1"/>
    <mergeCell ref="A112:F112"/>
    <mergeCell ref="A2:F2"/>
    <mergeCell ref="A3:F3"/>
    <mergeCell ref="A107:F107"/>
    <mergeCell ref="F5:F7"/>
    <mergeCell ref="D5:D7"/>
    <mergeCell ref="E5:E7"/>
    <mergeCell ref="C5:C7"/>
    <mergeCell ref="B5:B7"/>
    <mergeCell ref="A5:A7"/>
    <mergeCell ref="E4:F4"/>
  </mergeCells>
  <pageMargins left="0.23622047244094491" right="0.23622047244094491" top="0.39370078740157483" bottom="0.55118110236220474" header="0.47244094488188981" footer="0.35433070866141736"/>
  <pageSetup paperSize="9" scale="75" firstPageNumber="4294963191" orientation="portrait" r:id="rId1"/>
  <headerFooter alignWithMargins="0">
    <oddFooter>&amp;R1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B11" sqref="B11"/>
    </sheetView>
  </sheetViews>
  <sheetFormatPr defaultRowHeight="13.8"/>
  <cols>
    <col min="1" max="1" width="4.88671875" style="116" customWidth="1"/>
    <col min="2" max="2" width="42.88671875" style="116" customWidth="1"/>
    <col min="3" max="3" width="12.21875" style="116" customWidth="1"/>
    <col min="4" max="4" width="31.21875" style="116" customWidth="1"/>
    <col min="5" max="5" width="9.33203125" style="116" bestFit="1" customWidth="1"/>
    <col min="6" max="16384" width="8.88671875" style="116"/>
  </cols>
  <sheetData>
    <row r="1" spans="1:7">
      <c r="A1" s="251"/>
      <c r="B1" s="251"/>
      <c r="C1" s="251"/>
      <c r="D1" s="306" t="s">
        <v>398</v>
      </c>
    </row>
    <row r="2" spans="1:7" ht="17.399999999999999">
      <c r="A2" s="342" t="s">
        <v>373</v>
      </c>
      <c r="B2" s="342"/>
      <c r="C2" s="342"/>
      <c r="D2" s="342"/>
    </row>
    <row r="3" spans="1:7" ht="17.25" customHeight="1">
      <c r="A3" s="328" t="s">
        <v>380</v>
      </c>
      <c r="B3" s="328"/>
      <c r="C3" s="328"/>
      <c r="D3" s="328"/>
      <c r="E3" s="241"/>
      <c r="F3" s="241"/>
      <c r="G3" s="241"/>
    </row>
    <row r="4" spans="1:7" ht="15.6">
      <c r="A4" s="251"/>
      <c r="B4" s="251"/>
      <c r="C4" s="251"/>
      <c r="D4" s="252" t="s">
        <v>216</v>
      </c>
    </row>
    <row r="5" spans="1:7" ht="16.5" customHeight="1">
      <c r="A5" s="343" t="s">
        <v>0</v>
      </c>
      <c r="B5" s="343" t="s">
        <v>80</v>
      </c>
      <c r="C5" s="345" t="s">
        <v>127</v>
      </c>
      <c r="D5" s="343" t="s">
        <v>128</v>
      </c>
    </row>
    <row r="6" spans="1:7" ht="28.5" customHeight="1">
      <c r="A6" s="344"/>
      <c r="B6" s="344"/>
      <c r="C6" s="346"/>
      <c r="D6" s="344"/>
    </row>
    <row r="7" spans="1:7" ht="19.5" customHeight="1">
      <c r="A7" s="253">
        <v>1</v>
      </c>
      <c r="B7" s="183" t="s">
        <v>129</v>
      </c>
      <c r="C7" s="182">
        <f>SUM(C8:C11)</f>
        <v>899729</v>
      </c>
      <c r="D7" s="253"/>
      <c r="E7" s="307"/>
    </row>
    <row r="8" spans="1:7" ht="49.2" customHeight="1">
      <c r="A8" s="253"/>
      <c r="B8" s="195" t="s">
        <v>341</v>
      </c>
      <c r="C8" s="182">
        <v>300000</v>
      </c>
      <c r="D8" s="183" t="s">
        <v>305</v>
      </c>
      <c r="E8" s="307"/>
    </row>
    <row r="9" spans="1:7" ht="34.200000000000003" customHeight="1">
      <c r="A9" s="253"/>
      <c r="B9" s="195" t="s">
        <v>340</v>
      </c>
      <c r="C9" s="182">
        <v>300000</v>
      </c>
      <c r="D9" s="183" t="s">
        <v>137</v>
      </c>
      <c r="E9" s="307"/>
    </row>
    <row r="10" spans="1:7" ht="29.4" customHeight="1">
      <c r="A10" s="253"/>
      <c r="B10" s="195" t="s">
        <v>332</v>
      </c>
      <c r="C10" s="182">
        <v>169729</v>
      </c>
      <c r="D10" s="183" t="s">
        <v>137</v>
      </c>
      <c r="E10" s="307"/>
    </row>
    <row r="11" spans="1:7" ht="47.4" customHeight="1">
      <c r="A11" s="253"/>
      <c r="B11" s="195" t="s">
        <v>392</v>
      </c>
      <c r="C11" s="182">
        <v>130000</v>
      </c>
      <c r="D11" s="183" t="s">
        <v>393</v>
      </c>
      <c r="E11" s="307"/>
    </row>
    <row r="12" spans="1:7" ht="23.4" customHeight="1">
      <c r="A12" s="253">
        <v>2</v>
      </c>
      <c r="B12" s="195" t="s">
        <v>291</v>
      </c>
      <c r="C12" s="182">
        <v>16000</v>
      </c>
      <c r="D12" s="254" t="s">
        <v>289</v>
      </c>
      <c r="E12" s="307"/>
    </row>
    <row r="13" spans="1:7" ht="30.6" customHeight="1">
      <c r="A13" s="253">
        <v>3</v>
      </c>
      <c r="B13" s="195" t="s">
        <v>394</v>
      </c>
      <c r="C13" s="182">
        <v>70000</v>
      </c>
      <c r="D13" s="254" t="s">
        <v>319</v>
      </c>
      <c r="E13" s="307"/>
    </row>
    <row r="14" spans="1:7" ht="23.4" customHeight="1">
      <c r="A14" s="253">
        <v>4</v>
      </c>
      <c r="B14" s="195" t="s">
        <v>130</v>
      </c>
      <c r="C14" s="182">
        <v>20000</v>
      </c>
      <c r="D14" s="255" t="s">
        <v>138</v>
      </c>
      <c r="E14" s="307"/>
    </row>
    <row r="15" spans="1:7" ht="23.4" customHeight="1">
      <c r="A15" s="253">
        <v>5</v>
      </c>
      <c r="B15" s="195" t="s">
        <v>131</v>
      </c>
      <c r="C15" s="182">
        <v>100000</v>
      </c>
      <c r="D15" s="253"/>
      <c r="E15" s="307"/>
    </row>
    <row r="16" spans="1:7" ht="28.8" customHeight="1">
      <c r="A16" s="253"/>
      <c r="B16" s="195" t="s">
        <v>132</v>
      </c>
      <c r="C16" s="182">
        <v>50000</v>
      </c>
      <c r="D16" s="256" t="s">
        <v>139</v>
      </c>
      <c r="E16" s="307"/>
    </row>
    <row r="17" spans="1:5" ht="18" customHeight="1">
      <c r="A17" s="253"/>
      <c r="B17" s="195" t="s">
        <v>133</v>
      </c>
      <c r="C17" s="182">
        <v>50000</v>
      </c>
      <c r="D17" s="254" t="s">
        <v>138</v>
      </c>
      <c r="E17" s="307"/>
    </row>
    <row r="18" spans="1:5" ht="29.4" customHeight="1">
      <c r="A18" s="253">
        <v>6</v>
      </c>
      <c r="B18" s="195" t="s">
        <v>300</v>
      </c>
      <c r="C18" s="182">
        <v>50000</v>
      </c>
      <c r="D18" s="254" t="s">
        <v>299</v>
      </c>
      <c r="E18" s="307"/>
    </row>
    <row r="19" spans="1:5" ht="26.4" customHeight="1">
      <c r="A19" s="253">
        <v>7</v>
      </c>
      <c r="B19" s="195" t="s">
        <v>134</v>
      </c>
      <c r="C19" s="182">
        <v>50000</v>
      </c>
      <c r="D19" s="254" t="s">
        <v>140</v>
      </c>
      <c r="E19" s="307"/>
    </row>
    <row r="20" spans="1:5" ht="42" customHeight="1">
      <c r="A20" s="253">
        <v>8</v>
      </c>
      <c r="B20" s="195" t="s">
        <v>329</v>
      </c>
      <c r="C20" s="182">
        <v>200000</v>
      </c>
      <c r="D20" s="183" t="s">
        <v>141</v>
      </c>
      <c r="E20" s="307"/>
    </row>
    <row r="21" spans="1:5" ht="28.2" customHeight="1">
      <c r="A21" s="253">
        <v>9</v>
      </c>
      <c r="B21" s="195" t="s">
        <v>326</v>
      </c>
      <c r="C21" s="182">
        <v>38271</v>
      </c>
      <c r="D21" s="183" t="s">
        <v>141</v>
      </c>
      <c r="E21" s="307"/>
    </row>
    <row r="22" spans="1:5" ht="30.6" customHeight="1">
      <c r="A22" s="253">
        <v>10</v>
      </c>
      <c r="B22" s="195" t="s">
        <v>135</v>
      </c>
      <c r="C22" s="182">
        <v>700000</v>
      </c>
      <c r="D22" s="254" t="s">
        <v>334</v>
      </c>
      <c r="E22" s="307"/>
    </row>
    <row r="23" spans="1:5" s="209" customFormat="1" ht="29.4" customHeight="1">
      <c r="A23" s="253">
        <v>11</v>
      </c>
      <c r="B23" s="195" t="s">
        <v>230</v>
      </c>
      <c r="C23" s="182">
        <v>100000</v>
      </c>
      <c r="D23" s="254" t="s">
        <v>319</v>
      </c>
      <c r="E23" s="308"/>
    </row>
    <row r="24" spans="1:5" s="209" customFormat="1" ht="30" customHeight="1">
      <c r="A24" s="253">
        <v>12</v>
      </c>
      <c r="B24" s="195" t="s">
        <v>327</v>
      </c>
      <c r="C24" s="182">
        <v>150000</v>
      </c>
      <c r="D24" s="183" t="s">
        <v>141</v>
      </c>
      <c r="E24" s="308"/>
    </row>
    <row r="25" spans="1:5" s="209" customFormat="1" ht="28.2" customHeight="1">
      <c r="A25" s="253">
        <v>13</v>
      </c>
      <c r="B25" s="195" t="s">
        <v>328</v>
      </c>
      <c r="C25" s="182">
        <v>250000</v>
      </c>
      <c r="D25" s="183" t="s">
        <v>141</v>
      </c>
      <c r="E25" s="308"/>
    </row>
    <row r="26" spans="1:5" s="209" customFormat="1" ht="25.2" customHeight="1">
      <c r="A26" s="253">
        <v>14</v>
      </c>
      <c r="B26" s="195" t="s">
        <v>331</v>
      </c>
      <c r="C26" s="182">
        <v>150000</v>
      </c>
      <c r="D26" s="254" t="s">
        <v>391</v>
      </c>
      <c r="E26" s="308"/>
    </row>
    <row r="27" spans="1:5" s="209" customFormat="1" ht="24.6" customHeight="1">
      <c r="A27" s="253">
        <v>15</v>
      </c>
      <c r="B27" s="195" t="s">
        <v>280</v>
      </c>
      <c r="C27" s="182">
        <v>310000</v>
      </c>
      <c r="D27" s="254"/>
      <c r="E27" s="308"/>
    </row>
    <row r="28" spans="1:5" s="209" customFormat="1" ht="22.2" customHeight="1">
      <c r="A28" s="253"/>
      <c r="B28" s="257" t="s">
        <v>84</v>
      </c>
      <c r="C28" s="258">
        <f>C7+C12+C13+C14+C15+C18+C19+C20+C21+C22+C23+C24+C25+C26+C27</f>
        <v>3104000</v>
      </c>
      <c r="D28" s="258"/>
      <c r="E28" s="308"/>
    </row>
    <row r="29" spans="1:5" ht="21" customHeight="1">
      <c r="A29" s="259"/>
      <c r="C29" s="260"/>
      <c r="E29" s="307"/>
    </row>
    <row r="30" spans="1:5">
      <c r="C30" s="269"/>
    </row>
    <row r="31" spans="1:5">
      <c r="C31" s="269"/>
    </row>
    <row r="32" spans="1:5">
      <c r="C32" s="269"/>
    </row>
  </sheetData>
  <mergeCells count="6">
    <mergeCell ref="A2:D2"/>
    <mergeCell ref="A5:A6"/>
    <mergeCell ref="B5:B6"/>
    <mergeCell ref="D5:D6"/>
    <mergeCell ref="C5:C6"/>
    <mergeCell ref="A3:D3"/>
  </mergeCells>
  <pageMargins left="0.6" right="0.19" top="0.36" bottom="0.28000000000000003" header="0.16" footer="0.24"/>
  <pageSetup paperSize="9" scale="90" firstPageNumber="42949631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8" sqref="C8"/>
    </sheetView>
  </sheetViews>
  <sheetFormatPr defaultColWidth="9" defaultRowHeight="13.8"/>
  <cols>
    <col min="1" max="1" width="5.21875" style="49" customWidth="1"/>
    <col min="2" max="2" width="49.33203125" style="80" customWidth="1"/>
    <col min="3" max="3" width="11.6640625" style="49" customWidth="1"/>
    <col min="4" max="4" width="29.77734375" style="315" customWidth="1"/>
    <col min="5" max="16384" width="9" style="49"/>
  </cols>
  <sheetData>
    <row r="1" spans="1:6">
      <c r="D1" s="293" t="s">
        <v>399</v>
      </c>
    </row>
    <row r="2" spans="1:6" ht="17.399999999999999">
      <c r="A2" s="348" t="s">
        <v>383</v>
      </c>
      <c r="B2" s="348"/>
      <c r="C2" s="348"/>
      <c r="D2" s="348"/>
    </row>
    <row r="3" spans="1:6" ht="17.25" customHeight="1">
      <c r="A3" s="319" t="s">
        <v>380</v>
      </c>
      <c r="B3" s="319"/>
      <c r="C3" s="319"/>
      <c r="D3" s="319"/>
      <c r="E3" s="56"/>
      <c r="F3" s="56"/>
    </row>
    <row r="4" spans="1:6" ht="15.6">
      <c r="D4" s="57" t="s">
        <v>216</v>
      </c>
    </row>
    <row r="5" spans="1:6" s="309" customFormat="1" ht="21.75" customHeight="1">
      <c r="A5" s="300" t="s">
        <v>0</v>
      </c>
      <c r="B5" s="300" t="s">
        <v>3</v>
      </c>
      <c r="C5" s="300" t="s">
        <v>8</v>
      </c>
      <c r="D5" s="300" t="s">
        <v>9</v>
      </c>
    </row>
    <row r="6" spans="1:6" s="310" customFormat="1" ht="31.5" customHeight="1">
      <c r="A6" s="172" t="s">
        <v>297</v>
      </c>
      <c r="B6" s="172" t="s">
        <v>121</v>
      </c>
      <c r="C6" s="173">
        <f>SUM(C7:C11)</f>
        <v>860000</v>
      </c>
      <c r="D6" s="69"/>
    </row>
    <row r="7" spans="1:6" s="311" customFormat="1" ht="31.5" customHeight="1">
      <c r="A7" s="70"/>
      <c r="B7" s="70" t="s">
        <v>193</v>
      </c>
      <c r="C7" s="71">
        <v>50000</v>
      </c>
      <c r="D7" s="174" t="s">
        <v>196</v>
      </c>
    </row>
    <row r="8" spans="1:6" s="311" customFormat="1" ht="31.5" customHeight="1">
      <c r="A8" s="70"/>
      <c r="B8" s="70" t="s">
        <v>210</v>
      </c>
      <c r="C8" s="71">
        <v>80000</v>
      </c>
      <c r="D8" s="174" t="s">
        <v>213</v>
      </c>
    </row>
    <row r="9" spans="1:6" s="311" customFormat="1" ht="31.5" customHeight="1">
      <c r="A9" s="70"/>
      <c r="B9" s="70" t="s">
        <v>295</v>
      </c>
      <c r="C9" s="71">
        <v>50000</v>
      </c>
      <c r="D9" s="174" t="s">
        <v>296</v>
      </c>
    </row>
    <row r="10" spans="1:6" s="311" customFormat="1" ht="31.5" customHeight="1">
      <c r="A10" s="70"/>
      <c r="B10" s="70" t="s">
        <v>231</v>
      </c>
      <c r="C10" s="71">
        <v>80000</v>
      </c>
      <c r="D10" s="174" t="s">
        <v>232</v>
      </c>
    </row>
    <row r="11" spans="1:6" s="311" customFormat="1" ht="31.5" customHeight="1">
      <c r="A11" s="70"/>
      <c r="B11" s="70" t="s">
        <v>288</v>
      </c>
      <c r="C11" s="71">
        <v>600000</v>
      </c>
      <c r="D11" s="174" t="s">
        <v>319</v>
      </c>
    </row>
    <row r="12" spans="1:6" s="310" customFormat="1" ht="31.5" customHeight="1">
      <c r="A12" s="172" t="s">
        <v>5</v>
      </c>
      <c r="B12" s="172" t="s">
        <v>122</v>
      </c>
      <c r="C12" s="173">
        <f>SUM(C13:C16)</f>
        <v>140000</v>
      </c>
      <c r="D12" s="69"/>
    </row>
    <row r="13" spans="1:6" s="313" customFormat="1" ht="31.5" customHeight="1">
      <c r="A13" s="70">
        <v>1</v>
      </c>
      <c r="B13" s="70" t="s">
        <v>123</v>
      </c>
      <c r="C13" s="71">
        <v>20000</v>
      </c>
      <c r="D13" s="174" t="s">
        <v>124</v>
      </c>
      <c r="E13" s="312"/>
    </row>
    <row r="14" spans="1:6" s="313" customFormat="1" ht="31.5" customHeight="1">
      <c r="A14" s="70">
        <v>2</v>
      </c>
      <c r="B14" s="70" t="s">
        <v>125</v>
      </c>
      <c r="C14" s="71">
        <v>10000</v>
      </c>
      <c r="D14" s="174" t="s">
        <v>124</v>
      </c>
    </row>
    <row r="15" spans="1:6" s="313" customFormat="1" ht="31.5" customHeight="1">
      <c r="A15" s="70">
        <v>3</v>
      </c>
      <c r="B15" s="70" t="s">
        <v>126</v>
      </c>
      <c r="C15" s="71">
        <v>20000</v>
      </c>
      <c r="D15" s="174" t="s">
        <v>124</v>
      </c>
    </row>
    <row r="16" spans="1:6" s="313" customFormat="1" ht="31.5" customHeight="1">
      <c r="A16" s="70">
        <v>4</v>
      </c>
      <c r="B16" s="70" t="s">
        <v>303</v>
      </c>
      <c r="C16" s="71">
        <v>90000</v>
      </c>
      <c r="D16" s="174" t="s">
        <v>124</v>
      </c>
    </row>
    <row r="17" spans="1:5" s="53" customFormat="1" ht="25.5" customHeight="1">
      <c r="A17" s="175"/>
      <c r="B17" s="171" t="s">
        <v>84</v>
      </c>
      <c r="C17" s="176">
        <f>C6+C12</f>
        <v>1000000</v>
      </c>
      <c r="D17" s="177"/>
      <c r="E17" s="310"/>
    </row>
    <row r="18" spans="1:5" ht="16.8">
      <c r="C18" s="145"/>
      <c r="D18" s="314"/>
    </row>
    <row r="19" spans="1:5" ht="16.2">
      <c r="A19" s="347"/>
      <c r="B19" s="347"/>
      <c r="C19" s="347"/>
      <c r="D19" s="347"/>
    </row>
    <row r="20" spans="1:5">
      <c r="C20" s="51"/>
    </row>
    <row r="23" spans="1:5">
      <c r="B23" s="316"/>
    </row>
    <row r="24" spans="1:5">
      <c r="B24" s="316"/>
    </row>
    <row r="25" spans="1:5">
      <c r="B25" s="316"/>
    </row>
    <row r="26" spans="1:5">
      <c r="B26" s="316"/>
    </row>
    <row r="27" spans="1:5">
      <c r="B27" s="316"/>
    </row>
    <row r="28" spans="1:5">
      <c r="B28" s="316"/>
    </row>
    <row r="30" spans="1:5">
      <c r="B30" s="316"/>
    </row>
  </sheetData>
  <mergeCells count="3">
    <mergeCell ref="A19:D19"/>
    <mergeCell ref="A2:D2"/>
    <mergeCell ref="A3:D3"/>
  </mergeCells>
  <pageMargins left="0.37" right="0.19" top="0.42986111111111103" bottom="0.59027777777777801" header="0.36944444444444402" footer="0.51111111111111096"/>
  <pageSetup paperSize="9" scale="85" firstPageNumber="42949631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zoomScaleNormal="100" workbookViewId="0">
      <pane ySplit="3480" topLeftCell="A7" activePane="bottomLeft"/>
      <selection activeCell="M1" sqref="M1:N1048576"/>
      <selection pane="bottomLeft" activeCell="H7" sqref="H7"/>
    </sheetView>
  </sheetViews>
  <sheetFormatPr defaultColWidth="9" defaultRowHeight="13.8"/>
  <cols>
    <col min="1" max="1" width="4.109375" style="49" customWidth="1"/>
    <col min="2" max="2" width="33.109375" style="79" customWidth="1"/>
    <col min="3" max="3" width="6.44140625" style="49" customWidth="1"/>
    <col min="4" max="4" width="13.5546875" style="49" customWidth="1"/>
    <col min="5" max="5" width="12.77734375" style="49" customWidth="1"/>
    <col min="6" max="7" width="13.6640625" style="49" customWidth="1"/>
    <col min="8" max="8" width="12.21875" style="49" customWidth="1"/>
    <col min="9" max="9" width="9.6640625" style="49" customWidth="1"/>
    <col min="10" max="10" width="10" style="116" bestFit="1" customWidth="1"/>
    <col min="11" max="11" width="10.44140625" style="49" customWidth="1"/>
    <col min="12" max="12" width="10.88671875" style="49" customWidth="1"/>
    <col min="13" max="13" width="10.77734375" style="49" customWidth="1"/>
    <col min="14" max="16384" width="9" style="49"/>
  </cols>
  <sheetData>
    <row r="1" spans="1:17" s="47" customFormat="1">
      <c r="A1" s="113"/>
      <c r="B1" s="205"/>
      <c r="C1" s="113"/>
      <c r="D1" s="113"/>
      <c r="E1" s="113"/>
      <c r="F1" s="113"/>
      <c r="G1" s="113"/>
      <c r="H1" s="113"/>
      <c r="I1" s="113"/>
      <c r="J1" s="206"/>
      <c r="K1" s="206" t="s">
        <v>217</v>
      </c>
      <c r="L1" s="206"/>
    </row>
    <row r="2" spans="1:17" s="47" customFormat="1" ht="22.5" customHeight="1">
      <c r="A2" s="327" t="s">
        <v>370</v>
      </c>
      <c r="B2" s="327"/>
      <c r="C2" s="327"/>
      <c r="D2" s="327"/>
      <c r="E2" s="327"/>
      <c r="F2" s="327"/>
      <c r="G2" s="327"/>
      <c r="H2" s="327"/>
      <c r="I2" s="327"/>
      <c r="J2" s="327"/>
      <c r="K2" s="327"/>
      <c r="L2" s="327"/>
    </row>
    <row r="3" spans="1:17" s="47" customFormat="1" ht="15.6">
      <c r="A3" s="328" t="s">
        <v>380</v>
      </c>
      <c r="B3" s="328"/>
      <c r="C3" s="328"/>
      <c r="D3" s="328"/>
      <c r="E3" s="328"/>
      <c r="F3" s="328"/>
      <c r="G3" s="328"/>
      <c r="H3" s="328"/>
      <c r="I3" s="328"/>
      <c r="J3" s="328"/>
      <c r="K3" s="328"/>
      <c r="L3" s="328"/>
    </row>
    <row r="4" spans="1:17" s="47" customFormat="1" ht="18.75" customHeight="1">
      <c r="A4" s="207"/>
      <c r="B4" s="208"/>
      <c r="C4" s="207"/>
      <c r="D4" s="207"/>
      <c r="E4" s="116"/>
      <c r="F4" s="116"/>
      <c r="G4" s="116"/>
      <c r="H4" s="113"/>
      <c r="I4" s="113"/>
      <c r="J4" s="113"/>
      <c r="K4" s="356" t="s">
        <v>218</v>
      </c>
      <c r="L4" s="356"/>
    </row>
    <row r="5" spans="1:17" s="59" customFormat="1" ht="11.25" customHeight="1">
      <c r="A5" s="335" t="s">
        <v>197</v>
      </c>
      <c r="B5" s="357" t="s">
        <v>142</v>
      </c>
      <c r="C5" s="357" t="s">
        <v>209</v>
      </c>
      <c r="D5" s="335" t="s">
        <v>81</v>
      </c>
      <c r="E5" s="357" t="s">
        <v>208</v>
      </c>
      <c r="F5" s="357" t="s">
        <v>359</v>
      </c>
      <c r="G5" s="357" t="s">
        <v>325</v>
      </c>
      <c r="H5" s="349" t="s">
        <v>274</v>
      </c>
      <c r="I5" s="350"/>
      <c r="J5" s="350"/>
      <c r="K5" s="350"/>
      <c r="L5" s="351"/>
    </row>
    <row r="6" spans="1:17" ht="11.25" customHeight="1">
      <c r="A6" s="336"/>
      <c r="B6" s="358"/>
      <c r="C6" s="358"/>
      <c r="D6" s="336"/>
      <c r="E6" s="358"/>
      <c r="F6" s="336"/>
      <c r="G6" s="358"/>
      <c r="H6" s="352"/>
      <c r="I6" s="353"/>
      <c r="J6" s="353"/>
      <c r="K6" s="353"/>
      <c r="L6" s="354"/>
    </row>
    <row r="7" spans="1:17" s="53" customFormat="1" ht="48.6" customHeight="1">
      <c r="A7" s="337"/>
      <c r="B7" s="359"/>
      <c r="C7" s="359"/>
      <c r="D7" s="337"/>
      <c r="E7" s="359"/>
      <c r="F7" s="337"/>
      <c r="G7" s="359"/>
      <c r="H7" s="121" t="s">
        <v>290</v>
      </c>
      <c r="I7" s="121" t="s">
        <v>275</v>
      </c>
      <c r="J7" s="121" t="s">
        <v>278</v>
      </c>
      <c r="K7" s="121" t="s">
        <v>276</v>
      </c>
      <c r="L7" s="121" t="s">
        <v>277</v>
      </c>
    </row>
    <row r="8" spans="1:17" s="33" customFormat="1" ht="21.9" customHeight="1">
      <c r="A8" s="210"/>
      <c r="B8" s="211" t="s">
        <v>186</v>
      </c>
      <c r="C8" s="121"/>
      <c r="D8" s="122">
        <f>D9+D16+D23+D29+D37+D43+D47</f>
        <v>452908109.07999998</v>
      </c>
      <c r="E8" s="122">
        <f>E9+E16+E23+E29+E37+E43+E47</f>
        <v>365349230.07999998</v>
      </c>
      <c r="F8" s="122">
        <f>F9+F16+F23+F29+F37+F43+F47</f>
        <v>16458879</v>
      </c>
      <c r="G8" s="122">
        <f>G9+G16+G23+G29+G37+G43+G47</f>
        <v>43119000</v>
      </c>
      <c r="H8" s="122">
        <v>5581140</v>
      </c>
      <c r="I8" s="122">
        <f>I9+I16+I23+I29+I37+I43+I47</f>
        <v>629000</v>
      </c>
      <c r="J8" s="122">
        <f>J9+J16+J23+J29+J37+J43+J47</f>
        <v>7785920</v>
      </c>
      <c r="K8" s="122">
        <f>K9+K16+K23+K29+K37+K43+K47</f>
        <v>9748000</v>
      </c>
      <c r="L8" s="122">
        <f>L9+L16+L23+L29+L37+L43+L47</f>
        <v>4944000</v>
      </c>
      <c r="M8" s="102"/>
      <c r="N8" s="104"/>
      <c r="O8" s="103"/>
      <c r="P8" s="103"/>
      <c r="Q8" s="103"/>
    </row>
    <row r="9" spans="1:17" s="105" customFormat="1" ht="18" customHeight="1">
      <c r="A9" s="210" t="s">
        <v>4</v>
      </c>
      <c r="B9" s="244" t="s">
        <v>198</v>
      </c>
      <c r="C9" s="121"/>
      <c r="D9" s="122">
        <f>D10+D14+D15</f>
        <v>1088082.48</v>
      </c>
      <c r="E9" s="122">
        <f>E10+E14+E15</f>
        <v>529842.48</v>
      </c>
      <c r="F9" s="122">
        <f>F10+F13+F14+F15</f>
        <v>618240</v>
      </c>
      <c r="G9" s="122">
        <f>G10+G12+G14+G15</f>
        <v>0</v>
      </c>
      <c r="H9" s="123"/>
      <c r="I9" s="123"/>
      <c r="J9" s="123"/>
      <c r="K9" s="123"/>
      <c r="L9" s="123"/>
      <c r="M9" s="106"/>
      <c r="N9" s="104"/>
      <c r="O9" s="103"/>
      <c r="P9" s="103"/>
      <c r="Q9" s="103"/>
    </row>
    <row r="10" spans="1:17" s="105" customFormat="1" ht="18" customHeight="1">
      <c r="A10" s="245">
        <v>1</v>
      </c>
      <c r="B10" s="224" t="s">
        <v>199</v>
      </c>
      <c r="C10" s="125">
        <v>2</v>
      </c>
      <c r="D10" s="217">
        <f>E10+F10+G10</f>
        <v>1015082.48</v>
      </c>
      <c r="E10" s="217">
        <f>42209*12+E11</f>
        <v>529842.48</v>
      </c>
      <c r="F10" s="212">
        <f>C10*15120+F12</f>
        <v>485240</v>
      </c>
      <c r="G10" s="212"/>
      <c r="H10" s="123"/>
      <c r="I10" s="123"/>
      <c r="J10" s="123"/>
      <c r="K10" s="123"/>
      <c r="L10" s="123"/>
      <c r="M10" s="106"/>
      <c r="N10" s="104"/>
      <c r="O10" s="103"/>
      <c r="P10" s="103"/>
      <c r="Q10" s="103"/>
    </row>
    <row r="11" spans="1:17" s="105" customFormat="1" ht="34.200000000000003" customHeight="1">
      <c r="A11" s="245"/>
      <c r="B11" s="213" t="s">
        <v>355</v>
      </c>
      <c r="C11" s="125"/>
      <c r="D11" s="217"/>
      <c r="E11" s="217">
        <f>(8.31*2340*12)*10%</f>
        <v>23334.480000000003</v>
      </c>
      <c r="F11" s="212"/>
      <c r="G11" s="212"/>
      <c r="H11" s="123"/>
      <c r="I11" s="123"/>
      <c r="J11" s="123"/>
      <c r="K11" s="123"/>
      <c r="L11" s="123"/>
      <c r="M11" s="106"/>
      <c r="N11" s="104"/>
      <c r="O11" s="103"/>
      <c r="P11" s="103"/>
      <c r="Q11" s="103"/>
    </row>
    <row r="12" spans="1:17" s="105" customFormat="1" ht="18" customHeight="1">
      <c r="A12" s="245"/>
      <c r="B12" s="246" t="s">
        <v>302</v>
      </c>
      <c r="C12" s="229"/>
      <c r="D12" s="222">
        <f>E12+F12</f>
        <v>455000</v>
      </c>
      <c r="E12" s="222"/>
      <c r="F12" s="192">
        <v>455000</v>
      </c>
      <c r="G12" s="212"/>
      <c r="H12" s="123"/>
      <c r="I12" s="123"/>
      <c r="J12" s="123"/>
      <c r="K12" s="123"/>
      <c r="L12" s="123"/>
      <c r="M12" s="106"/>
      <c r="N12" s="104"/>
      <c r="O12" s="103"/>
      <c r="P12" s="103"/>
      <c r="Q12" s="103"/>
    </row>
    <row r="13" spans="1:17" s="105" customFormat="1" ht="18" customHeight="1">
      <c r="A13" s="245">
        <v>2</v>
      </c>
      <c r="B13" s="224" t="s">
        <v>324</v>
      </c>
      <c r="C13" s="229"/>
      <c r="D13" s="217">
        <f>F13</f>
        <v>60000</v>
      </c>
      <c r="E13" s="217"/>
      <c r="F13" s="212">
        <v>60000</v>
      </c>
      <c r="G13" s="212"/>
      <c r="H13" s="123"/>
      <c r="I13" s="123"/>
      <c r="J13" s="123"/>
      <c r="K13" s="123"/>
      <c r="L13" s="123"/>
      <c r="M13" s="106"/>
      <c r="N13" s="104"/>
      <c r="O13" s="103"/>
      <c r="P13" s="103"/>
      <c r="Q13" s="103"/>
    </row>
    <row r="14" spans="1:17" s="105" customFormat="1" ht="33.6" customHeight="1">
      <c r="A14" s="245">
        <v>3</v>
      </c>
      <c r="B14" s="224" t="s">
        <v>206</v>
      </c>
      <c r="C14" s="125"/>
      <c r="D14" s="217">
        <f>E14+F14</f>
        <v>10000</v>
      </c>
      <c r="E14" s="217"/>
      <c r="F14" s="212">
        <v>10000</v>
      </c>
      <c r="G14" s="212"/>
      <c r="H14" s="123"/>
      <c r="I14" s="123"/>
      <c r="J14" s="123"/>
      <c r="K14" s="123"/>
      <c r="L14" s="123"/>
      <c r="M14" s="106"/>
      <c r="N14" s="104"/>
      <c r="O14" s="103"/>
      <c r="P14" s="103"/>
      <c r="Q14" s="103"/>
    </row>
    <row r="15" spans="1:17" s="105" customFormat="1" ht="18" customHeight="1">
      <c r="A15" s="245">
        <v>4</v>
      </c>
      <c r="B15" s="224" t="s">
        <v>280</v>
      </c>
      <c r="C15" s="125"/>
      <c r="D15" s="217">
        <f>E15+F15</f>
        <v>63000</v>
      </c>
      <c r="E15" s="217"/>
      <c r="F15" s="212">
        <v>63000</v>
      </c>
      <c r="G15" s="212"/>
      <c r="H15" s="123"/>
      <c r="I15" s="123"/>
      <c r="J15" s="123"/>
      <c r="K15" s="123"/>
      <c r="L15" s="123"/>
      <c r="M15" s="106"/>
      <c r="N15" s="104"/>
      <c r="O15" s="103"/>
      <c r="P15" s="103"/>
      <c r="Q15" s="103"/>
    </row>
    <row r="16" spans="1:17" s="159" customFormat="1" ht="18" customHeight="1">
      <c r="A16" s="214" t="s">
        <v>5</v>
      </c>
      <c r="B16" s="215" t="s">
        <v>200</v>
      </c>
      <c r="C16" s="216"/>
      <c r="D16" s="124">
        <f>D17+D20+D21+D22</f>
        <v>906554.8</v>
      </c>
      <c r="E16" s="124">
        <f t="shared" ref="E16:F16" si="0">E17+E20+E21+E22</f>
        <v>495074.8</v>
      </c>
      <c r="F16" s="124">
        <f t="shared" si="0"/>
        <v>411480</v>
      </c>
      <c r="G16" s="124"/>
      <c r="H16" s="123" t="s">
        <v>297</v>
      </c>
      <c r="I16" s="123"/>
      <c r="J16" s="123"/>
      <c r="K16" s="123"/>
      <c r="L16" s="123"/>
      <c r="M16" s="161"/>
      <c r="N16" s="162"/>
      <c r="O16" s="163"/>
      <c r="P16" s="163"/>
      <c r="Q16" s="163"/>
    </row>
    <row r="17" spans="1:17" s="159" customFormat="1" ht="18" customHeight="1">
      <c r="A17" s="245">
        <v>1</v>
      </c>
      <c r="B17" s="224" t="s">
        <v>194</v>
      </c>
      <c r="C17" s="125">
        <v>4</v>
      </c>
      <c r="D17" s="217">
        <f>E17+F17</f>
        <v>771554.8</v>
      </c>
      <c r="E17" s="217">
        <f>385781+(89573*3)-178492+E18</f>
        <v>495074.8</v>
      </c>
      <c r="F17" s="217">
        <f>C17*15120+216000</f>
        <v>276480</v>
      </c>
      <c r="G17" s="217"/>
      <c r="H17" s="123"/>
      <c r="I17" s="123"/>
      <c r="J17" s="123"/>
      <c r="K17" s="123"/>
      <c r="L17" s="123"/>
      <c r="M17" s="161"/>
      <c r="N17" s="164"/>
      <c r="O17" s="165"/>
      <c r="P17" s="165"/>
      <c r="Q17" s="165"/>
    </row>
    <row r="18" spans="1:17" s="159" customFormat="1" ht="32.4" customHeight="1">
      <c r="A18" s="245"/>
      <c r="B18" s="213" t="s">
        <v>355</v>
      </c>
      <c r="C18" s="125"/>
      <c r="D18" s="217"/>
      <c r="E18" s="217">
        <f>(15889*12)*10%</f>
        <v>19066.8</v>
      </c>
      <c r="F18" s="217"/>
      <c r="G18" s="217"/>
      <c r="H18" s="123"/>
      <c r="I18" s="123"/>
      <c r="J18" s="123"/>
      <c r="K18" s="123"/>
      <c r="L18" s="123"/>
      <c r="M18" s="161"/>
      <c r="N18" s="164"/>
      <c r="O18" s="165"/>
      <c r="P18" s="165"/>
      <c r="Q18" s="165"/>
    </row>
    <row r="19" spans="1:17" s="159" customFormat="1" ht="18" customHeight="1">
      <c r="A19" s="245"/>
      <c r="B19" s="246" t="s">
        <v>358</v>
      </c>
      <c r="C19" s="229"/>
      <c r="D19" s="222"/>
      <c r="E19" s="222"/>
      <c r="F19" s="222">
        <v>216000</v>
      </c>
      <c r="G19" s="217"/>
      <c r="H19" s="123"/>
      <c r="I19" s="123"/>
      <c r="J19" s="123"/>
      <c r="K19" s="123"/>
      <c r="L19" s="123"/>
      <c r="M19" s="161"/>
      <c r="N19" s="164"/>
      <c r="O19" s="165"/>
      <c r="P19" s="165"/>
      <c r="Q19" s="165"/>
    </row>
    <row r="20" spans="1:17" s="159" customFormat="1" ht="18" customHeight="1">
      <c r="A20" s="245">
        <v>2</v>
      </c>
      <c r="B20" s="224" t="s">
        <v>211</v>
      </c>
      <c r="C20" s="216"/>
      <c r="D20" s="217">
        <f>E20+F20</f>
        <v>80000</v>
      </c>
      <c r="E20" s="217"/>
      <c r="F20" s="217">
        <v>80000</v>
      </c>
      <c r="G20" s="217"/>
      <c r="H20" s="123"/>
      <c r="I20" s="123"/>
      <c r="J20" s="123"/>
      <c r="K20" s="123"/>
      <c r="L20" s="123"/>
      <c r="M20" s="161"/>
      <c r="N20" s="165"/>
      <c r="O20" s="161"/>
      <c r="P20" s="161"/>
      <c r="Q20" s="161"/>
    </row>
    <row r="21" spans="1:17" s="159" customFormat="1" ht="35.4" customHeight="1">
      <c r="A21" s="245">
        <v>3</v>
      </c>
      <c r="B21" s="224" t="s">
        <v>206</v>
      </c>
      <c r="C21" s="125"/>
      <c r="D21" s="217">
        <f>E21+F21</f>
        <v>10000</v>
      </c>
      <c r="E21" s="217"/>
      <c r="F21" s="212">
        <v>10000</v>
      </c>
      <c r="G21" s="212"/>
      <c r="H21" s="123"/>
      <c r="I21" s="123"/>
      <c r="J21" s="123"/>
      <c r="K21" s="123"/>
      <c r="L21" s="123"/>
      <c r="M21" s="161"/>
      <c r="N21" s="161"/>
      <c r="O21" s="166"/>
      <c r="P21" s="166"/>
      <c r="Q21" s="166"/>
    </row>
    <row r="22" spans="1:17" s="159" customFormat="1" ht="19.2" customHeight="1">
      <c r="A22" s="245">
        <v>4</v>
      </c>
      <c r="B22" s="224" t="s">
        <v>280</v>
      </c>
      <c r="C22" s="125"/>
      <c r="D22" s="217">
        <f>E22+F22</f>
        <v>45000</v>
      </c>
      <c r="E22" s="217"/>
      <c r="F22" s="212">
        <v>45000</v>
      </c>
      <c r="G22" s="212"/>
      <c r="H22" s="123"/>
      <c r="I22" s="123"/>
      <c r="J22" s="123"/>
      <c r="K22" s="123"/>
      <c r="L22" s="123"/>
      <c r="O22" s="167"/>
      <c r="P22" s="167"/>
      <c r="Q22" s="167"/>
    </row>
    <row r="23" spans="1:17" s="159" customFormat="1" ht="19.2" customHeight="1">
      <c r="A23" s="214" t="s">
        <v>7</v>
      </c>
      <c r="B23" s="247" t="s">
        <v>201</v>
      </c>
      <c r="C23" s="248"/>
      <c r="D23" s="218">
        <f>D24+D27+D28</f>
        <v>1142535.8</v>
      </c>
      <c r="E23" s="218">
        <f t="shared" ref="E23:F23" si="1">E24+E27+E28</f>
        <v>848055.8</v>
      </c>
      <c r="F23" s="218">
        <f t="shared" si="1"/>
        <v>294480</v>
      </c>
      <c r="G23" s="218"/>
      <c r="H23" s="123"/>
      <c r="I23" s="219"/>
      <c r="J23" s="123"/>
      <c r="K23" s="123"/>
      <c r="L23" s="123"/>
    </row>
    <row r="24" spans="1:17" s="160" customFormat="1" ht="21.6" customHeight="1">
      <c r="A24" s="245">
        <v>1</v>
      </c>
      <c r="B24" s="224" t="s">
        <v>194</v>
      </c>
      <c r="C24" s="248">
        <v>4</v>
      </c>
      <c r="D24" s="212">
        <f>E24+F24</f>
        <v>1103535.8</v>
      </c>
      <c r="E24" s="212">
        <f>723102+89573+E25</f>
        <v>848055.8</v>
      </c>
      <c r="F24" s="212">
        <f>C24*15120+195000</f>
        <v>255480</v>
      </c>
      <c r="G24" s="212"/>
      <c r="H24" s="178"/>
      <c r="I24" s="178"/>
      <c r="J24" s="178"/>
      <c r="K24" s="178"/>
      <c r="L24" s="178"/>
    </row>
    <row r="25" spans="1:17" s="160" customFormat="1" ht="30.6" customHeight="1">
      <c r="A25" s="245"/>
      <c r="B25" s="213" t="s">
        <v>355</v>
      </c>
      <c r="C25" s="248"/>
      <c r="D25" s="212"/>
      <c r="E25" s="212">
        <f>(29484*12)*10%</f>
        <v>35380.800000000003</v>
      </c>
      <c r="F25" s="212"/>
      <c r="G25" s="212"/>
      <c r="H25" s="178"/>
      <c r="I25" s="178"/>
      <c r="J25" s="178"/>
      <c r="K25" s="178"/>
      <c r="L25" s="178"/>
    </row>
    <row r="26" spans="1:17" s="160" customFormat="1" ht="21.6" customHeight="1">
      <c r="A26" s="245"/>
      <c r="B26" s="246" t="s">
        <v>357</v>
      </c>
      <c r="C26" s="248"/>
      <c r="D26" s="212"/>
      <c r="E26" s="212"/>
      <c r="F26" s="192">
        <v>195000</v>
      </c>
      <c r="G26" s="212"/>
      <c r="H26" s="178"/>
      <c r="I26" s="178"/>
      <c r="J26" s="178"/>
      <c r="K26" s="178"/>
      <c r="L26" s="178"/>
    </row>
    <row r="27" spans="1:17" s="159" customFormat="1" ht="31.8" customHeight="1">
      <c r="A27" s="245">
        <v>2</v>
      </c>
      <c r="B27" s="224" t="s">
        <v>206</v>
      </c>
      <c r="C27" s="248"/>
      <c r="D27" s="212">
        <f>E27+F27</f>
        <v>5000</v>
      </c>
      <c r="E27" s="212"/>
      <c r="F27" s="212">
        <v>5000</v>
      </c>
      <c r="G27" s="212"/>
      <c r="H27" s="123"/>
      <c r="I27" s="123"/>
      <c r="J27" s="123"/>
      <c r="K27" s="123"/>
      <c r="L27" s="123"/>
    </row>
    <row r="28" spans="1:17" s="159" customFormat="1" ht="19.8" customHeight="1">
      <c r="A28" s="245">
        <v>3</v>
      </c>
      <c r="B28" s="224" t="s">
        <v>280</v>
      </c>
      <c r="C28" s="248"/>
      <c r="D28" s="212">
        <f>E28+F28</f>
        <v>34000</v>
      </c>
      <c r="E28" s="212"/>
      <c r="F28" s="212">
        <v>34000</v>
      </c>
      <c r="G28" s="212"/>
      <c r="H28" s="123"/>
      <c r="I28" s="123"/>
      <c r="J28" s="123"/>
      <c r="K28" s="123"/>
      <c r="L28" s="123"/>
    </row>
    <row r="29" spans="1:17" s="159" customFormat="1" ht="19.2" customHeight="1">
      <c r="A29" s="214" t="s">
        <v>79</v>
      </c>
      <c r="B29" s="215" t="s">
        <v>202</v>
      </c>
      <c r="C29" s="249"/>
      <c r="D29" s="218">
        <f>D30+D33+D34+D35+D36</f>
        <v>26890000</v>
      </c>
      <c r="E29" s="218">
        <f t="shared" ref="E29:F29" si="2">E30+E33+E34+E35+E36</f>
        <v>23900000</v>
      </c>
      <c r="F29" s="218">
        <f t="shared" si="2"/>
        <v>2990000</v>
      </c>
      <c r="G29" s="218"/>
      <c r="H29" s="123"/>
      <c r="I29" s="123"/>
      <c r="J29" s="123"/>
      <c r="K29" s="123"/>
      <c r="L29" s="123"/>
    </row>
    <row r="30" spans="1:17" s="158" customFormat="1" ht="19.2" customHeight="1">
      <c r="A30" s="245">
        <v>1</v>
      </c>
      <c r="B30" s="224" t="s">
        <v>203</v>
      </c>
      <c r="C30" s="250"/>
      <c r="D30" s="212">
        <f t="shared" ref="D30:D36" si="3">E30+F30</f>
        <v>24467000</v>
      </c>
      <c r="E30" s="212">
        <f>E31+E32</f>
        <v>23900000</v>
      </c>
      <c r="F30" s="212">
        <f>F31+F32</f>
        <v>567000</v>
      </c>
      <c r="G30" s="212"/>
      <c r="H30" s="179"/>
      <c r="I30" s="179"/>
      <c r="J30" s="179"/>
      <c r="K30" s="179"/>
      <c r="L30" s="179"/>
    </row>
    <row r="31" spans="1:17" s="152" customFormat="1" ht="33.6" customHeight="1">
      <c r="A31" s="220"/>
      <c r="B31" s="246" t="s">
        <v>207</v>
      </c>
      <c r="C31" s="222"/>
      <c r="D31" s="212">
        <f t="shared" si="3"/>
        <v>24368000</v>
      </c>
      <c r="E31" s="192">
        <v>23900000</v>
      </c>
      <c r="F31" s="192">
        <v>468000</v>
      </c>
      <c r="G31" s="192"/>
      <c r="H31" s="180"/>
      <c r="I31" s="180"/>
      <c r="J31" s="180"/>
      <c r="K31" s="180"/>
      <c r="L31" s="180"/>
    </row>
    <row r="32" spans="1:17" s="159" customFormat="1" ht="17.399999999999999" customHeight="1">
      <c r="A32" s="220"/>
      <c r="B32" s="246" t="s">
        <v>204</v>
      </c>
      <c r="C32" s="222"/>
      <c r="D32" s="212">
        <f t="shared" si="3"/>
        <v>99000</v>
      </c>
      <c r="E32" s="229"/>
      <c r="F32" s="192">
        <v>99000</v>
      </c>
      <c r="G32" s="192"/>
      <c r="H32" s="123"/>
      <c r="I32" s="123"/>
      <c r="J32" s="123"/>
      <c r="K32" s="123"/>
      <c r="L32" s="123"/>
    </row>
    <row r="33" spans="1:12" s="159" customFormat="1" ht="21" customHeight="1">
      <c r="A33" s="220">
        <v>2</v>
      </c>
      <c r="B33" s="224" t="s">
        <v>227</v>
      </c>
      <c r="C33" s="217"/>
      <c r="D33" s="212">
        <f t="shared" si="3"/>
        <v>35000</v>
      </c>
      <c r="E33" s="125"/>
      <c r="F33" s="212">
        <v>35000</v>
      </c>
      <c r="G33" s="212"/>
      <c r="H33" s="123"/>
      <c r="I33" s="123"/>
      <c r="J33" s="123"/>
      <c r="K33" s="123"/>
      <c r="L33" s="123"/>
    </row>
    <row r="34" spans="1:12" s="159" customFormat="1" ht="21" customHeight="1">
      <c r="A34" s="220">
        <v>3</v>
      </c>
      <c r="B34" s="224" t="s">
        <v>228</v>
      </c>
      <c r="C34" s="217"/>
      <c r="D34" s="212">
        <f t="shared" si="3"/>
        <v>2121000</v>
      </c>
      <c r="E34" s="125"/>
      <c r="F34" s="212">
        <v>2121000</v>
      </c>
      <c r="G34" s="212"/>
      <c r="H34" s="123"/>
      <c r="I34" s="123"/>
      <c r="J34" s="123"/>
      <c r="K34" s="123"/>
      <c r="L34" s="123"/>
    </row>
    <row r="35" spans="1:12" s="159" customFormat="1" ht="34.799999999999997" customHeight="1">
      <c r="A35" s="220">
        <v>3</v>
      </c>
      <c r="B35" s="224" t="s">
        <v>229</v>
      </c>
      <c r="C35" s="217"/>
      <c r="D35" s="212">
        <f t="shared" si="3"/>
        <v>200000</v>
      </c>
      <c r="E35" s="125"/>
      <c r="F35" s="212">
        <v>200000</v>
      </c>
      <c r="G35" s="212"/>
      <c r="H35" s="123"/>
      <c r="I35" s="123"/>
      <c r="J35" s="123"/>
      <c r="K35" s="123"/>
      <c r="L35" s="123"/>
    </row>
    <row r="36" spans="1:12" s="159" customFormat="1" ht="22.8" customHeight="1">
      <c r="A36" s="220">
        <v>4</v>
      </c>
      <c r="B36" s="224" t="s">
        <v>280</v>
      </c>
      <c r="C36" s="217"/>
      <c r="D36" s="212">
        <f t="shared" si="3"/>
        <v>67000</v>
      </c>
      <c r="E36" s="125"/>
      <c r="F36" s="212">
        <v>67000</v>
      </c>
      <c r="G36" s="212"/>
      <c r="H36" s="123"/>
      <c r="I36" s="123"/>
      <c r="J36" s="123"/>
      <c r="K36" s="123"/>
      <c r="L36" s="123"/>
    </row>
    <row r="37" spans="1:12" s="159" customFormat="1" ht="19.8" customHeight="1">
      <c r="A37" s="225" t="s">
        <v>187</v>
      </c>
      <c r="B37" s="226" t="s">
        <v>205</v>
      </c>
      <c r="C37" s="124"/>
      <c r="D37" s="218">
        <f>D38+D41+D42</f>
        <v>3786676</v>
      </c>
      <c r="E37" s="218">
        <f>E38+E41+E42</f>
        <v>3110996</v>
      </c>
      <c r="F37" s="218">
        <f>F38+F41+F42</f>
        <v>675680</v>
      </c>
      <c r="G37" s="218">
        <f>G38+G41+G42</f>
        <v>0</v>
      </c>
      <c r="H37" s="123"/>
      <c r="I37" s="219"/>
      <c r="J37" s="123"/>
      <c r="K37" s="123"/>
      <c r="L37" s="123"/>
    </row>
    <row r="38" spans="1:12" s="159" customFormat="1" ht="19.8" customHeight="1">
      <c r="A38" s="220">
        <v>1</v>
      </c>
      <c r="B38" s="223" t="s">
        <v>194</v>
      </c>
      <c r="C38" s="217">
        <v>14</v>
      </c>
      <c r="D38" s="212">
        <f>E38+F38+G38</f>
        <v>3708676</v>
      </c>
      <c r="E38" s="212">
        <f>2918685+43403+E39</f>
        <v>3110996</v>
      </c>
      <c r="F38" s="212">
        <f>C38*15120+F40</f>
        <v>597680</v>
      </c>
      <c r="G38" s="212"/>
      <c r="H38" s="123"/>
      <c r="I38" s="123"/>
      <c r="J38" s="123"/>
      <c r="K38" s="127"/>
      <c r="L38" s="123"/>
    </row>
    <row r="39" spans="1:12" s="159" customFormat="1" ht="30.6" customHeight="1">
      <c r="A39" s="220"/>
      <c r="B39" s="213" t="s">
        <v>355</v>
      </c>
      <c r="C39" s="217"/>
      <c r="D39" s="212"/>
      <c r="E39" s="212">
        <f>(124090*12)*10%</f>
        <v>148908</v>
      </c>
      <c r="F39" s="212"/>
      <c r="G39" s="212"/>
      <c r="H39" s="123"/>
      <c r="I39" s="123"/>
      <c r="J39" s="123"/>
      <c r="K39" s="127"/>
      <c r="L39" s="123"/>
    </row>
    <row r="40" spans="1:12" s="159" customFormat="1" ht="19.8" customHeight="1">
      <c r="A40" s="220"/>
      <c r="B40" s="221" t="s">
        <v>356</v>
      </c>
      <c r="C40" s="222"/>
      <c r="D40" s="192">
        <f>F40+G40</f>
        <v>386000</v>
      </c>
      <c r="E40" s="192"/>
      <c r="F40" s="192">
        <v>386000</v>
      </c>
      <c r="G40" s="212"/>
      <c r="H40" s="123"/>
      <c r="I40" s="123"/>
      <c r="J40" s="123"/>
      <c r="K40" s="127"/>
      <c r="L40" s="123"/>
    </row>
    <row r="41" spans="1:12" s="159" customFormat="1" ht="33.6" customHeight="1">
      <c r="A41" s="220">
        <v>2</v>
      </c>
      <c r="B41" s="223" t="s">
        <v>206</v>
      </c>
      <c r="C41" s="217"/>
      <c r="D41" s="212">
        <f>E41+F41</f>
        <v>10000</v>
      </c>
      <c r="E41" s="125"/>
      <c r="F41" s="212">
        <v>10000</v>
      </c>
      <c r="G41" s="212"/>
      <c r="H41" s="123"/>
      <c r="I41" s="123"/>
      <c r="J41" s="123"/>
      <c r="K41" s="123"/>
      <c r="L41" s="123"/>
    </row>
    <row r="42" spans="1:12" s="159" customFormat="1" ht="19.2" customHeight="1">
      <c r="A42" s="220">
        <v>3</v>
      </c>
      <c r="B42" s="224" t="s">
        <v>280</v>
      </c>
      <c r="C42" s="217"/>
      <c r="D42" s="212">
        <f>E42+F42</f>
        <v>68000</v>
      </c>
      <c r="E42" s="125"/>
      <c r="F42" s="212">
        <v>68000</v>
      </c>
      <c r="G42" s="212"/>
      <c r="H42" s="123"/>
      <c r="I42" s="123"/>
      <c r="J42" s="123"/>
      <c r="K42" s="123"/>
      <c r="L42" s="123"/>
    </row>
    <row r="43" spans="1:12" s="160" customFormat="1" ht="21" customHeight="1">
      <c r="A43" s="225" t="s">
        <v>188</v>
      </c>
      <c r="B43" s="226" t="s">
        <v>189</v>
      </c>
      <c r="C43" s="124"/>
      <c r="D43" s="218">
        <f>D44+D45+D46</f>
        <v>150000</v>
      </c>
      <c r="E43" s="218">
        <f t="shared" ref="E43:F43" si="4">E44+E45+E46</f>
        <v>0</v>
      </c>
      <c r="F43" s="218">
        <f t="shared" si="4"/>
        <v>150000</v>
      </c>
      <c r="G43" s="218"/>
      <c r="H43" s="178"/>
      <c r="I43" s="178"/>
      <c r="J43" s="178"/>
      <c r="K43" s="178"/>
      <c r="L43" s="178"/>
    </row>
    <row r="44" spans="1:12" s="160" customFormat="1" ht="21" customHeight="1">
      <c r="A44" s="225">
        <v>1</v>
      </c>
      <c r="B44" s="223" t="s">
        <v>226</v>
      </c>
      <c r="C44" s="124"/>
      <c r="D44" s="212">
        <v>45000</v>
      </c>
      <c r="E44" s="212"/>
      <c r="F44" s="212">
        <v>45000</v>
      </c>
      <c r="G44" s="212"/>
      <c r="H44" s="178"/>
      <c r="I44" s="178"/>
      <c r="J44" s="178"/>
      <c r="K44" s="178"/>
      <c r="L44" s="178"/>
    </row>
    <row r="45" spans="1:12" s="159" customFormat="1" ht="35.4" customHeight="1">
      <c r="A45" s="220">
        <v>2</v>
      </c>
      <c r="B45" s="223" t="s">
        <v>279</v>
      </c>
      <c r="C45" s="217"/>
      <c r="D45" s="212">
        <f>E45+F45</f>
        <v>100000</v>
      </c>
      <c r="E45" s="125"/>
      <c r="F45" s="212">
        <v>100000</v>
      </c>
      <c r="G45" s="212"/>
      <c r="H45" s="123"/>
      <c r="I45" s="123"/>
      <c r="J45" s="123"/>
      <c r="K45" s="123"/>
      <c r="L45" s="123"/>
    </row>
    <row r="46" spans="1:12" s="159" customFormat="1" ht="21.6" customHeight="1">
      <c r="A46" s="220">
        <v>3</v>
      </c>
      <c r="B46" s="223" t="s">
        <v>280</v>
      </c>
      <c r="C46" s="217"/>
      <c r="D46" s="212">
        <f>E46+F46</f>
        <v>5000</v>
      </c>
      <c r="E46" s="125"/>
      <c r="F46" s="212">
        <v>5000</v>
      </c>
      <c r="G46" s="212"/>
      <c r="H46" s="123"/>
      <c r="I46" s="123"/>
      <c r="J46" s="123"/>
      <c r="K46" s="123"/>
      <c r="L46" s="123"/>
    </row>
    <row r="47" spans="1:12" s="105" customFormat="1" ht="19.8" customHeight="1">
      <c r="A47" s="225" t="s">
        <v>233</v>
      </c>
      <c r="B47" s="226" t="s">
        <v>292</v>
      </c>
      <c r="C47" s="124">
        <f>C48+C87+C88+C89+C90+C92</f>
        <v>1080</v>
      </c>
      <c r="D47" s="124">
        <f>D48+D87+D88+D89+D90+D92+D91+D93</f>
        <v>418944260</v>
      </c>
      <c r="E47" s="124">
        <f t="shared" ref="E47:L47" si="5">E48+E87+E88+E89+E90+E92+E91+E93</f>
        <v>336465261</v>
      </c>
      <c r="F47" s="124">
        <f t="shared" si="5"/>
        <v>11318999</v>
      </c>
      <c r="G47" s="124">
        <f t="shared" si="5"/>
        <v>43119000</v>
      </c>
      <c r="H47" s="124">
        <f t="shared" si="5"/>
        <v>4934080</v>
      </c>
      <c r="I47" s="124">
        <f t="shared" si="5"/>
        <v>629000</v>
      </c>
      <c r="J47" s="124">
        <f t="shared" si="5"/>
        <v>7785920</v>
      </c>
      <c r="K47" s="124">
        <f t="shared" si="5"/>
        <v>9748000</v>
      </c>
      <c r="L47" s="124">
        <f t="shared" si="5"/>
        <v>4944000</v>
      </c>
    </row>
    <row r="48" spans="1:12" s="105" customFormat="1" ht="19.8" customHeight="1">
      <c r="A48" s="225">
        <v>1</v>
      </c>
      <c r="B48" s="226" t="s">
        <v>234</v>
      </c>
      <c r="C48" s="227">
        <f>C49+C65</f>
        <v>1059</v>
      </c>
      <c r="D48" s="124">
        <f>D49+D65</f>
        <v>395466847</v>
      </c>
      <c r="E48" s="124">
        <f t="shared" ref="E48:L48" si="6">E49+E65</f>
        <v>328841035</v>
      </c>
      <c r="F48" s="124">
        <f t="shared" si="6"/>
        <v>11153312</v>
      </c>
      <c r="G48" s="124">
        <f t="shared" si="6"/>
        <v>27431500</v>
      </c>
      <c r="H48" s="124">
        <f t="shared" si="6"/>
        <v>4934080</v>
      </c>
      <c r="I48" s="124">
        <f t="shared" si="6"/>
        <v>629000</v>
      </c>
      <c r="J48" s="124">
        <f t="shared" si="6"/>
        <v>7785920</v>
      </c>
      <c r="K48" s="124">
        <f t="shared" si="6"/>
        <v>9748000</v>
      </c>
      <c r="L48" s="124">
        <f t="shared" si="6"/>
        <v>4944000</v>
      </c>
    </row>
    <row r="49" spans="1:12" s="105" customFormat="1" ht="19.8" customHeight="1">
      <c r="A49" s="225" t="s">
        <v>235</v>
      </c>
      <c r="B49" s="223" t="s">
        <v>236</v>
      </c>
      <c r="C49" s="227">
        <f>SUM(C50:C64)</f>
        <v>405</v>
      </c>
      <c r="D49" s="124">
        <f>SUM(D50:D64)</f>
        <v>118021206</v>
      </c>
      <c r="E49" s="124">
        <f>SUM(E50:E64)</f>
        <v>99098512</v>
      </c>
      <c r="F49" s="124">
        <f t="shared" ref="F49:K49" si="7">SUM(F50:F64)</f>
        <v>3277914</v>
      </c>
      <c r="G49" s="124">
        <f t="shared" si="7"/>
        <v>8902500</v>
      </c>
      <c r="H49" s="124">
        <f t="shared" si="7"/>
        <v>4934080</v>
      </c>
      <c r="I49" s="124">
        <f t="shared" si="7"/>
        <v>61000</v>
      </c>
      <c r="J49" s="124">
        <f t="shared" si="7"/>
        <v>1747200</v>
      </c>
      <c r="K49" s="124">
        <f t="shared" si="7"/>
        <v>0</v>
      </c>
      <c r="L49" s="125"/>
    </row>
    <row r="50" spans="1:12" s="105" customFormat="1" ht="19.8" customHeight="1">
      <c r="A50" s="180"/>
      <c r="B50" s="223" t="s">
        <v>237</v>
      </c>
      <c r="C50" s="181">
        <v>19</v>
      </c>
      <c r="D50" s="228">
        <f>E50+F50+H50+I50+J50+K50+L50+G50</f>
        <v>4839645</v>
      </c>
      <c r="E50" s="217">
        <v>4041095</v>
      </c>
      <c r="F50" s="217">
        <v>130600</v>
      </c>
      <c r="G50" s="217">
        <v>429500</v>
      </c>
      <c r="H50" s="217">
        <v>175200</v>
      </c>
      <c r="I50" s="217"/>
      <c r="J50" s="127">
        <v>63250</v>
      </c>
      <c r="K50" s="217"/>
      <c r="L50" s="125"/>
    </row>
    <row r="51" spans="1:12" s="105" customFormat="1" ht="19.8" customHeight="1">
      <c r="A51" s="180"/>
      <c r="B51" s="223" t="s">
        <v>238</v>
      </c>
      <c r="C51" s="181">
        <v>32</v>
      </c>
      <c r="D51" s="228">
        <f t="shared" ref="D51:D64" si="8">E51+F51+H51+I51+J51+K51+L51+G51</f>
        <v>8872310</v>
      </c>
      <c r="E51" s="217">
        <v>7426066</v>
      </c>
      <c r="F51" s="217">
        <v>216244</v>
      </c>
      <c r="G51" s="217">
        <v>696000</v>
      </c>
      <c r="H51" s="217">
        <v>428000</v>
      </c>
      <c r="I51" s="217">
        <v>6000</v>
      </c>
      <c r="J51" s="127">
        <v>100000</v>
      </c>
      <c r="K51" s="217"/>
      <c r="L51" s="216"/>
    </row>
    <row r="52" spans="1:12" s="105" customFormat="1" ht="19.8" customHeight="1">
      <c r="A52" s="180"/>
      <c r="B52" s="223" t="s">
        <v>239</v>
      </c>
      <c r="C52" s="181">
        <v>27</v>
      </c>
      <c r="D52" s="228">
        <f t="shared" si="8"/>
        <v>8093205</v>
      </c>
      <c r="E52" s="217">
        <v>6815764</v>
      </c>
      <c r="F52" s="217">
        <v>249861</v>
      </c>
      <c r="G52" s="217">
        <v>593500</v>
      </c>
      <c r="H52" s="217">
        <v>334080</v>
      </c>
      <c r="I52" s="217"/>
      <c r="J52" s="127">
        <v>100000</v>
      </c>
      <c r="K52" s="217"/>
      <c r="L52" s="217"/>
    </row>
    <row r="53" spans="1:12" s="105" customFormat="1" ht="19.8" customHeight="1">
      <c r="A53" s="180"/>
      <c r="B53" s="223" t="s">
        <v>240</v>
      </c>
      <c r="C53" s="181">
        <v>28</v>
      </c>
      <c r="D53" s="228">
        <f t="shared" si="8"/>
        <v>8521484</v>
      </c>
      <c r="E53" s="217">
        <v>7195232</v>
      </c>
      <c r="F53" s="217">
        <v>269212</v>
      </c>
      <c r="G53" s="217">
        <v>614000</v>
      </c>
      <c r="H53" s="217">
        <v>343040</v>
      </c>
      <c r="I53" s="217"/>
      <c r="J53" s="127">
        <v>100000</v>
      </c>
      <c r="K53" s="217"/>
      <c r="L53" s="125"/>
    </row>
    <row r="54" spans="1:12" s="105" customFormat="1" ht="19.8" customHeight="1">
      <c r="A54" s="180"/>
      <c r="B54" s="223" t="s">
        <v>241</v>
      </c>
      <c r="C54" s="181">
        <v>40</v>
      </c>
      <c r="D54" s="228">
        <f t="shared" si="8"/>
        <v>11008458</v>
      </c>
      <c r="E54" s="217">
        <v>9398422</v>
      </c>
      <c r="F54" s="217">
        <v>342436</v>
      </c>
      <c r="G54" s="217">
        <v>860000</v>
      </c>
      <c r="H54" s="217">
        <v>201600</v>
      </c>
      <c r="I54" s="217">
        <v>6000</v>
      </c>
      <c r="J54" s="127">
        <v>200000</v>
      </c>
      <c r="K54" s="217"/>
      <c r="L54" s="125"/>
    </row>
    <row r="55" spans="1:12" s="105" customFormat="1" ht="19.8" customHeight="1">
      <c r="A55" s="180"/>
      <c r="B55" s="223" t="s">
        <v>242</v>
      </c>
      <c r="C55" s="181">
        <v>41</v>
      </c>
      <c r="D55" s="228">
        <f t="shared" si="8"/>
        <v>12573538</v>
      </c>
      <c r="E55" s="217">
        <v>10282346</v>
      </c>
      <c r="F55" s="217">
        <v>385852</v>
      </c>
      <c r="G55" s="217">
        <v>880500</v>
      </c>
      <c r="H55" s="217">
        <v>699840</v>
      </c>
      <c r="I55" s="217">
        <v>25000</v>
      </c>
      <c r="J55" s="127">
        <v>300000</v>
      </c>
      <c r="K55" s="217"/>
      <c r="L55" s="125"/>
    </row>
    <row r="56" spans="1:12" s="105" customFormat="1" ht="19.8" customHeight="1">
      <c r="A56" s="180"/>
      <c r="B56" s="223" t="s">
        <v>243</v>
      </c>
      <c r="C56" s="181">
        <v>12</v>
      </c>
      <c r="D56" s="228">
        <f t="shared" si="8"/>
        <v>2785997</v>
      </c>
      <c r="E56" s="217">
        <v>2342443</v>
      </c>
      <c r="F56" s="217">
        <v>110584</v>
      </c>
      <c r="G56" s="217">
        <v>286000</v>
      </c>
      <c r="H56" s="217">
        <v>26720</v>
      </c>
      <c r="I56" s="217"/>
      <c r="J56" s="127">
        <v>20250</v>
      </c>
      <c r="K56" s="217"/>
      <c r="L56" s="125"/>
    </row>
    <row r="57" spans="1:12" s="105" customFormat="1" ht="19.8" customHeight="1">
      <c r="A57" s="180"/>
      <c r="B57" s="223" t="s">
        <v>244</v>
      </c>
      <c r="C57" s="181">
        <v>17</v>
      </c>
      <c r="D57" s="228">
        <f t="shared" si="8"/>
        <v>4389664</v>
      </c>
      <c r="E57" s="217">
        <v>3736195</v>
      </c>
      <c r="F57" s="217">
        <v>156269</v>
      </c>
      <c r="G57" s="217">
        <v>388500</v>
      </c>
      <c r="H57" s="217">
        <v>59200</v>
      </c>
      <c r="I57" s="217"/>
      <c r="J57" s="127">
        <v>49500</v>
      </c>
      <c r="K57" s="217"/>
      <c r="L57" s="216"/>
    </row>
    <row r="58" spans="1:12" s="105" customFormat="1" ht="19.8" customHeight="1">
      <c r="A58" s="180"/>
      <c r="B58" s="223" t="s">
        <v>245</v>
      </c>
      <c r="C58" s="181">
        <v>32</v>
      </c>
      <c r="D58" s="228">
        <f t="shared" si="8"/>
        <v>10028093</v>
      </c>
      <c r="E58" s="217">
        <v>8308522</v>
      </c>
      <c r="F58" s="217">
        <v>226611</v>
      </c>
      <c r="G58" s="217">
        <v>696000</v>
      </c>
      <c r="H58" s="217">
        <v>640960</v>
      </c>
      <c r="I58" s="217">
        <v>6000</v>
      </c>
      <c r="J58" s="127">
        <v>150000</v>
      </c>
      <c r="K58" s="217"/>
      <c r="L58" s="216"/>
    </row>
    <row r="59" spans="1:12" s="105" customFormat="1" ht="19.8" customHeight="1">
      <c r="A59" s="180"/>
      <c r="B59" s="223" t="s">
        <v>246</v>
      </c>
      <c r="C59" s="181">
        <v>34</v>
      </c>
      <c r="D59" s="228">
        <f t="shared" si="8"/>
        <v>10214314</v>
      </c>
      <c r="E59" s="217">
        <v>8607548</v>
      </c>
      <c r="F59" s="217">
        <v>229446</v>
      </c>
      <c r="G59" s="217">
        <v>737000</v>
      </c>
      <c r="H59" s="217">
        <v>484320</v>
      </c>
      <c r="I59" s="217">
        <v>6000</v>
      </c>
      <c r="J59" s="127">
        <v>150000</v>
      </c>
      <c r="K59" s="217"/>
      <c r="L59" s="229"/>
    </row>
    <row r="60" spans="1:12" s="105" customFormat="1" ht="19.8" customHeight="1">
      <c r="A60" s="180"/>
      <c r="B60" s="223" t="s">
        <v>247</v>
      </c>
      <c r="C60" s="181">
        <v>27</v>
      </c>
      <c r="D60" s="228">
        <f t="shared" si="8"/>
        <v>8073015</v>
      </c>
      <c r="E60" s="217">
        <v>6802330</v>
      </c>
      <c r="F60" s="217">
        <v>192465</v>
      </c>
      <c r="G60" s="217">
        <v>593500</v>
      </c>
      <c r="H60" s="217">
        <v>378720</v>
      </c>
      <c r="I60" s="217">
        <v>6000</v>
      </c>
      <c r="J60" s="127">
        <v>100000</v>
      </c>
      <c r="K60" s="217"/>
      <c r="L60" s="229"/>
    </row>
    <row r="61" spans="1:12" s="105" customFormat="1" ht="19.8" customHeight="1">
      <c r="A61" s="180"/>
      <c r="B61" s="223" t="s">
        <v>248</v>
      </c>
      <c r="C61" s="181">
        <v>29</v>
      </c>
      <c r="D61" s="228">
        <f t="shared" si="8"/>
        <v>9938918</v>
      </c>
      <c r="E61" s="217">
        <v>8594504</v>
      </c>
      <c r="F61" s="217">
        <v>243514</v>
      </c>
      <c r="G61" s="217">
        <v>634500</v>
      </c>
      <c r="H61" s="217">
        <v>366400</v>
      </c>
      <c r="I61" s="217"/>
      <c r="J61" s="127">
        <v>100000</v>
      </c>
      <c r="K61" s="217"/>
      <c r="L61" s="229"/>
    </row>
    <row r="62" spans="1:12" s="105" customFormat="1" ht="19.8" customHeight="1">
      <c r="A62" s="180"/>
      <c r="B62" s="223" t="s">
        <v>249</v>
      </c>
      <c r="C62" s="181">
        <v>19</v>
      </c>
      <c r="D62" s="228">
        <f t="shared" si="8"/>
        <v>5789796</v>
      </c>
      <c r="E62" s="217">
        <v>4904370</v>
      </c>
      <c r="F62" s="217">
        <v>173116</v>
      </c>
      <c r="G62" s="217">
        <v>429500</v>
      </c>
      <c r="H62" s="217">
        <v>216160</v>
      </c>
      <c r="I62" s="217">
        <v>6000</v>
      </c>
      <c r="J62" s="127">
        <v>60650</v>
      </c>
      <c r="K62" s="217"/>
      <c r="L62" s="229"/>
    </row>
    <row r="63" spans="1:12" s="105" customFormat="1" ht="19.8" customHeight="1">
      <c r="A63" s="180"/>
      <c r="B63" s="223" t="s">
        <v>250</v>
      </c>
      <c r="C63" s="181">
        <v>10</v>
      </c>
      <c r="D63" s="228">
        <f t="shared" si="8"/>
        <v>2919398</v>
      </c>
      <c r="E63" s="217">
        <v>2476736</v>
      </c>
      <c r="F63" s="217">
        <v>86992</v>
      </c>
      <c r="G63" s="217">
        <v>245000</v>
      </c>
      <c r="H63" s="217">
        <v>57120</v>
      </c>
      <c r="I63" s="217"/>
      <c r="J63" s="127">
        <v>53550</v>
      </c>
      <c r="K63" s="217"/>
      <c r="L63" s="216"/>
    </row>
    <row r="64" spans="1:12" s="105" customFormat="1" ht="19.8" customHeight="1">
      <c r="A64" s="180"/>
      <c r="B64" s="223" t="s">
        <v>251</v>
      </c>
      <c r="C64" s="181">
        <v>38</v>
      </c>
      <c r="D64" s="228">
        <f t="shared" si="8"/>
        <v>9973371</v>
      </c>
      <c r="E64" s="217">
        <v>8166939</v>
      </c>
      <c r="F64" s="217">
        <v>264712</v>
      </c>
      <c r="G64" s="217">
        <v>819000</v>
      </c>
      <c r="H64" s="217">
        <v>522720</v>
      </c>
      <c r="I64" s="217"/>
      <c r="J64" s="127">
        <v>200000</v>
      </c>
      <c r="K64" s="217"/>
      <c r="L64" s="229"/>
    </row>
    <row r="65" spans="1:12" s="105" customFormat="1" ht="19.8" customHeight="1">
      <c r="A65" s="179" t="s">
        <v>252</v>
      </c>
      <c r="B65" s="226" t="s">
        <v>253</v>
      </c>
      <c r="C65" s="227">
        <f>SUM(C66:C80)</f>
        <v>654</v>
      </c>
      <c r="D65" s="230">
        <f>SUM(D66:D86)</f>
        <v>277445641</v>
      </c>
      <c r="E65" s="230">
        <f t="shared" ref="E65:L65" si="9">SUM(E66:E86)</f>
        <v>229742523</v>
      </c>
      <c r="F65" s="230">
        <f t="shared" si="9"/>
        <v>7875398</v>
      </c>
      <c r="G65" s="230">
        <f t="shared" si="9"/>
        <v>18529000</v>
      </c>
      <c r="H65" s="230">
        <f t="shared" si="9"/>
        <v>0</v>
      </c>
      <c r="I65" s="230">
        <f t="shared" si="9"/>
        <v>568000</v>
      </c>
      <c r="J65" s="230">
        <f t="shared" si="9"/>
        <v>6038720</v>
      </c>
      <c r="K65" s="230">
        <f t="shared" si="9"/>
        <v>9748000</v>
      </c>
      <c r="L65" s="230">
        <f t="shared" si="9"/>
        <v>4944000</v>
      </c>
    </row>
    <row r="66" spans="1:12" s="105" customFormat="1" ht="19.8" customHeight="1">
      <c r="A66" s="180"/>
      <c r="B66" s="223" t="s">
        <v>254</v>
      </c>
      <c r="C66" s="181">
        <v>40</v>
      </c>
      <c r="D66" s="231">
        <f>E66+F66+H66+I66+J66+K66+G66</f>
        <v>13323198</v>
      </c>
      <c r="E66" s="231">
        <v>11153610</v>
      </c>
      <c r="F66" s="217">
        <v>379588</v>
      </c>
      <c r="G66" s="217">
        <v>940000</v>
      </c>
      <c r="H66" s="217"/>
      <c r="I66" s="217"/>
      <c r="J66" s="127">
        <v>250000</v>
      </c>
      <c r="K66" s="126">
        <v>600000</v>
      </c>
      <c r="L66" s="229"/>
    </row>
    <row r="67" spans="1:12" s="105" customFormat="1" ht="19.8" customHeight="1">
      <c r="A67" s="180"/>
      <c r="B67" s="223" t="s">
        <v>255</v>
      </c>
      <c r="C67" s="181">
        <v>56</v>
      </c>
      <c r="D67" s="231">
        <f t="shared" ref="D67:D80" si="10">E67+F67+H67+I67+J67+K67+G67</f>
        <v>16247795</v>
      </c>
      <c r="E67" s="231">
        <v>14002301</v>
      </c>
      <c r="F67" s="217">
        <v>435104</v>
      </c>
      <c r="G67" s="217">
        <v>1188000</v>
      </c>
      <c r="H67" s="217"/>
      <c r="I67" s="217">
        <v>27420</v>
      </c>
      <c r="J67" s="127">
        <v>194970</v>
      </c>
      <c r="K67" s="126">
        <v>400000</v>
      </c>
      <c r="L67" s="229"/>
    </row>
    <row r="68" spans="1:12" s="105" customFormat="1" ht="19.8" customHeight="1">
      <c r="A68" s="180"/>
      <c r="B68" s="223" t="s">
        <v>256</v>
      </c>
      <c r="C68" s="181">
        <v>38</v>
      </c>
      <c r="D68" s="231">
        <f t="shared" si="10"/>
        <v>12845974</v>
      </c>
      <c r="E68" s="231">
        <v>11189268</v>
      </c>
      <c r="F68" s="217">
        <v>410956</v>
      </c>
      <c r="G68" s="217">
        <v>819000</v>
      </c>
      <c r="H68" s="217"/>
      <c r="I68" s="217">
        <v>56750</v>
      </c>
      <c r="J68" s="127">
        <v>300000</v>
      </c>
      <c r="K68" s="126">
        <v>70000</v>
      </c>
      <c r="L68" s="229"/>
    </row>
    <row r="69" spans="1:12" s="105" customFormat="1" ht="19.8" customHeight="1">
      <c r="A69" s="180"/>
      <c r="B69" s="223" t="s">
        <v>257</v>
      </c>
      <c r="C69" s="181">
        <v>37</v>
      </c>
      <c r="D69" s="231">
        <f t="shared" si="10"/>
        <v>12918452</v>
      </c>
      <c r="E69" s="231">
        <v>10993802</v>
      </c>
      <c r="F69" s="217">
        <v>400120</v>
      </c>
      <c r="G69" s="217">
        <v>798500</v>
      </c>
      <c r="H69" s="217"/>
      <c r="I69" s="217">
        <v>26030</v>
      </c>
      <c r="J69" s="127">
        <v>300000</v>
      </c>
      <c r="K69" s="126">
        <v>400000</v>
      </c>
      <c r="L69" s="216"/>
    </row>
    <row r="70" spans="1:12" s="105" customFormat="1" ht="19.8" customHeight="1">
      <c r="A70" s="180"/>
      <c r="B70" s="223" t="s">
        <v>258</v>
      </c>
      <c r="C70" s="181">
        <v>37</v>
      </c>
      <c r="D70" s="231">
        <f t="shared" si="10"/>
        <v>12291264</v>
      </c>
      <c r="E70" s="231">
        <v>10566346</v>
      </c>
      <c r="F70" s="217">
        <v>366928</v>
      </c>
      <c r="G70" s="217">
        <v>798500</v>
      </c>
      <c r="H70" s="217"/>
      <c r="I70" s="217">
        <v>59490</v>
      </c>
      <c r="J70" s="127">
        <v>400000</v>
      </c>
      <c r="K70" s="126">
        <v>100000</v>
      </c>
      <c r="L70" s="216"/>
    </row>
    <row r="71" spans="1:12" s="105" customFormat="1" ht="19.8" customHeight="1">
      <c r="A71" s="180"/>
      <c r="B71" s="223" t="s">
        <v>259</v>
      </c>
      <c r="C71" s="181">
        <v>23</v>
      </c>
      <c r="D71" s="231">
        <f t="shared" si="10"/>
        <v>7742120</v>
      </c>
      <c r="E71" s="231">
        <v>6465349</v>
      </c>
      <c r="F71" s="217">
        <v>255869</v>
      </c>
      <c r="G71" s="217">
        <v>511500</v>
      </c>
      <c r="H71" s="217"/>
      <c r="I71" s="217">
        <v>9402</v>
      </c>
      <c r="J71" s="127">
        <v>100000</v>
      </c>
      <c r="K71" s="126">
        <v>400000</v>
      </c>
      <c r="L71" s="229"/>
    </row>
    <row r="72" spans="1:12" s="105" customFormat="1" ht="19.8" customHeight="1">
      <c r="A72" s="180"/>
      <c r="B72" s="223" t="s">
        <v>260</v>
      </c>
      <c r="C72" s="181">
        <v>24</v>
      </c>
      <c r="D72" s="231">
        <f t="shared" si="10"/>
        <v>6118282</v>
      </c>
      <c r="E72" s="231">
        <v>5254612</v>
      </c>
      <c r="F72" s="217">
        <v>227920</v>
      </c>
      <c r="G72" s="217">
        <v>572000</v>
      </c>
      <c r="H72" s="217"/>
      <c r="I72" s="217"/>
      <c r="J72" s="127">
        <v>63750</v>
      </c>
      <c r="K72" s="126"/>
      <c r="L72" s="229"/>
    </row>
    <row r="73" spans="1:12" s="105" customFormat="1" ht="19.8" customHeight="1">
      <c r="A73" s="180"/>
      <c r="B73" s="223" t="s">
        <v>261</v>
      </c>
      <c r="C73" s="181">
        <v>48</v>
      </c>
      <c r="D73" s="231">
        <f t="shared" si="10"/>
        <v>12224751</v>
      </c>
      <c r="E73" s="231">
        <v>10556579</v>
      </c>
      <c r="F73" s="217">
        <v>424852</v>
      </c>
      <c r="G73" s="217">
        <v>1064000</v>
      </c>
      <c r="H73" s="217"/>
      <c r="I73" s="217">
        <v>79320</v>
      </c>
      <c r="J73" s="127">
        <v>100000</v>
      </c>
      <c r="K73" s="126"/>
      <c r="L73" s="229"/>
    </row>
    <row r="74" spans="1:12" s="105" customFormat="1" ht="19.8" customHeight="1">
      <c r="A74" s="180"/>
      <c r="B74" s="223" t="s">
        <v>262</v>
      </c>
      <c r="C74" s="181">
        <v>54</v>
      </c>
      <c r="D74" s="231">
        <f t="shared" si="10"/>
        <v>19309992</v>
      </c>
      <c r="E74" s="231">
        <v>16702655</v>
      </c>
      <c r="F74" s="217">
        <v>513897</v>
      </c>
      <c r="G74" s="217">
        <v>1187000</v>
      </c>
      <c r="H74" s="217"/>
      <c r="I74" s="217">
        <v>26440</v>
      </c>
      <c r="J74" s="127">
        <v>480000</v>
      </c>
      <c r="K74" s="126">
        <v>400000</v>
      </c>
      <c r="L74" s="125"/>
    </row>
    <row r="75" spans="1:12" s="105" customFormat="1" ht="19.8" customHeight="1">
      <c r="A75" s="180"/>
      <c r="B75" s="223" t="s">
        <v>263</v>
      </c>
      <c r="C75" s="181">
        <v>56</v>
      </c>
      <c r="D75" s="231">
        <f t="shared" si="10"/>
        <v>19318866</v>
      </c>
      <c r="E75" s="231">
        <v>16382349</v>
      </c>
      <c r="F75" s="217">
        <v>466160</v>
      </c>
      <c r="G75" s="217">
        <v>1228000</v>
      </c>
      <c r="H75" s="217"/>
      <c r="I75" s="217">
        <v>42357</v>
      </c>
      <c r="J75" s="127">
        <v>700000</v>
      </c>
      <c r="K75" s="126">
        <v>500000</v>
      </c>
      <c r="L75" s="125"/>
    </row>
    <row r="76" spans="1:12" s="105" customFormat="1" ht="19.8" customHeight="1">
      <c r="A76" s="180"/>
      <c r="B76" s="223" t="s">
        <v>284</v>
      </c>
      <c r="C76" s="181">
        <v>71</v>
      </c>
      <c r="D76" s="231">
        <f t="shared" si="10"/>
        <v>25510196</v>
      </c>
      <c r="E76" s="231">
        <v>21092107</v>
      </c>
      <c r="F76" s="217">
        <v>598109</v>
      </c>
      <c r="G76" s="217">
        <v>1575500</v>
      </c>
      <c r="H76" s="217"/>
      <c r="I76" s="217">
        <v>46480</v>
      </c>
      <c r="J76" s="127">
        <v>700000</v>
      </c>
      <c r="K76" s="126">
        <v>1498000</v>
      </c>
      <c r="L76" s="125"/>
    </row>
    <row r="77" spans="1:12" s="105" customFormat="1" ht="19.8" customHeight="1">
      <c r="A77" s="180"/>
      <c r="B77" s="223" t="s">
        <v>264</v>
      </c>
      <c r="C77" s="181">
        <v>48</v>
      </c>
      <c r="D77" s="231">
        <f t="shared" si="10"/>
        <v>16166719</v>
      </c>
      <c r="E77" s="231">
        <v>13937049</v>
      </c>
      <c r="F77" s="217">
        <v>431706</v>
      </c>
      <c r="G77" s="217">
        <v>1024000</v>
      </c>
      <c r="H77" s="217"/>
      <c r="I77" s="217">
        <v>23964</v>
      </c>
      <c r="J77" s="127">
        <v>300000</v>
      </c>
      <c r="K77" s="126">
        <v>450000</v>
      </c>
      <c r="L77" s="125"/>
    </row>
    <row r="78" spans="1:12" s="105" customFormat="1" ht="19.8" customHeight="1">
      <c r="A78" s="180"/>
      <c r="B78" s="223" t="s">
        <v>265</v>
      </c>
      <c r="C78" s="181">
        <v>29</v>
      </c>
      <c r="D78" s="231">
        <f t="shared" si="10"/>
        <v>9272221</v>
      </c>
      <c r="E78" s="231">
        <v>7721630</v>
      </c>
      <c r="F78" s="217">
        <v>300256</v>
      </c>
      <c r="G78" s="217">
        <v>674500</v>
      </c>
      <c r="H78" s="217"/>
      <c r="I78" s="217">
        <v>25835</v>
      </c>
      <c r="J78" s="127">
        <v>150000</v>
      </c>
      <c r="K78" s="126">
        <v>400000</v>
      </c>
      <c r="L78" s="125"/>
    </row>
    <row r="79" spans="1:12" s="105" customFormat="1" ht="19.8" customHeight="1">
      <c r="A79" s="180"/>
      <c r="B79" s="223" t="s">
        <v>266</v>
      </c>
      <c r="C79" s="181">
        <v>45</v>
      </c>
      <c r="D79" s="231">
        <f t="shared" si="10"/>
        <v>13213872</v>
      </c>
      <c r="E79" s="231">
        <v>10545680</v>
      </c>
      <c r="F79" s="217">
        <v>372148</v>
      </c>
      <c r="G79" s="217">
        <v>962500</v>
      </c>
      <c r="H79" s="217"/>
      <c r="I79" s="217">
        <v>33544</v>
      </c>
      <c r="J79" s="127">
        <v>500000</v>
      </c>
      <c r="K79" s="126">
        <v>800000</v>
      </c>
      <c r="L79" s="125"/>
    </row>
    <row r="80" spans="1:12" s="105" customFormat="1" ht="19.8" customHeight="1">
      <c r="A80" s="180"/>
      <c r="B80" s="223" t="s">
        <v>267</v>
      </c>
      <c r="C80" s="181">
        <v>48</v>
      </c>
      <c r="D80" s="231">
        <f t="shared" si="10"/>
        <v>14700947</v>
      </c>
      <c r="E80" s="231">
        <v>12499259</v>
      </c>
      <c r="F80" s="217">
        <v>485788</v>
      </c>
      <c r="G80" s="217">
        <v>1024000</v>
      </c>
      <c r="H80" s="217"/>
      <c r="I80" s="217">
        <v>11900</v>
      </c>
      <c r="J80" s="127">
        <v>600000</v>
      </c>
      <c r="K80" s="217">
        <v>80000</v>
      </c>
      <c r="L80" s="125"/>
    </row>
    <row r="81" spans="1:21" s="105" customFormat="1" ht="19.8" customHeight="1">
      <c r="A81" s="180"/>
      <c r="B81" s="223" t="s">
        <v>268</v>
      </c>
      <c r="C81" s="181">
        <v>36</v>
      </c>
      <c r="D81" s="231">
        <f>E81+F81+H81+I81+J81+K81+L81+G81</f>
        <v>12151925</v>
      </c>
      <c r="E81" s="217">
        <v>9837326</v>
      </c>
      <c r="F81" s="217">
        <v>336599</v>
      </c>
      <c r="G81" s="217">
        <v>778000</v>
      </c>
      <c r="H81" s="217"/>
      <c r="I81" s="126"/>
      <c r="J81" s="126">
        <v>300000</v>
      </c>
      <c r="K81" s="128">
        <v>900000</v>
      </c>
      <c r="L81" s="125"/>
    </row>
    <row r="82" spans="1:21" s="105" customFormat="1" ht="19.8" customHeight="1">
      <c r="A82" s="180"/>
      <c r="B82" s="232" t="s">
        <v>271</v>
      </c>
      <c r="C82" s="181">
        <v>31</v>
      </c>
      <c r="D82" s="231">
        <f t="shared" ref="D82:D86" si="11">E82+F82+H82+I82+J82+K82+L82+G82</f>
        <v>9754132</v>
      </c>
      <c r="E82" s="217">
        <v>8223571</v>
      </c>
      <c r="F82" s="217">
        <v>331264</v>
      </c>
      <c r="G82" s="217">
        <v>675500</v>
      </c>
      <c r="H82" s="217"/>
      <c r="I82" s="126">
        <v>23797</v>
      </c>
      <c r="J82" s="126">
        <v>100000</v>
      </c>
      <c r="K82" s="128">
        <v>400000</v>
      </c>
      <c r="L82" s="125"/>
    </row>
    <row r="83" spans="1:21" s="105" customFormat="1" ht="19.8" customHeight="1">
      <c r="A83" s="180"/>
      <c r="B83" s="232" t="s">
        <v>269</v>
      </c>
      <c r="C83" s="181">
        <v>27</v>
      </c>
      <c r="D83" s="231">
        <f t="shared" si="11"/>
        <v>8636014</v>
      </c>
      <c r="E83" s="217">
        <v>7126826</v>
      </c>
      <c r="F83" s="217">
        <v>270162</v>
      </c>
      <c r="G83" s="217">
        <v>593500</v>
      </c>
      <c r="H83" s="217"/>
      <c r="I83" s="126">
        <v>45526</v>
      </c>
      <c r="J83" s="126">
        <v>150000</v>
      </c>
      <c r="K83" s="128">
        <v>450000</v>
      </c>
      <c r="L83" s="125"/>
    </row>
    <row r="84" spans="1:21" s="105" customFormat="1" ht="19.8" customHeight="1">
      <c r="A84" s="180"/>
      <c r="B84" s="223" t="s">
        <v>360</v>
      </c>
      <c r="C84" s="181">
        <v>30</v>
      </c>
      <c r="D84" s="231">
        <f t="shared" si="11"/>
        <v>10644908</v>
      </c>
      <c r="E84" s="217">
        <v>8587194</v>
      </c>
      <c r="F84" s="217">
        <v>282714</v>
      </c>
      <c r="G84" s="217">
        <v>725000</v>
      </c>
      <c r="H84" s="217"/>
      <c r="I84" s="126"/>
      <c r="J84" s="126">
        <v>150000</v>
      </c>
      <c r="K84" s="128">
        <v>900000</v>
      </c>
      <c r="L84" s="125"/>
    </row>
    <row r="85" spans="1:21" s="105" customFormat="1" ht="19.8" customHeight="1">
      <c r="A85" s="180"/>
      <c r="B85" s="223" t="s">
        <v>270</v>
      </c>
      <c r="C85" s="181">
        <v>30</v>
      </c>
      <c r="D85" s="231">
        <f t="shared" si="11"/>
        <v>11637644</v>
      </c>
      <c r="E85" s="217">
        <v>9391219</v>
      </c>
      <c r="F85" s="217">
        <v>281680</v>
      </c>
      <c r="G85" s="217">
        <v>735000</v>
      </c>
      <c r="H85" s="217"/>
      <c r="I85" s="126">
        <v>29745</v>
      </c>
      <c r="J85" s="126">
        <v>200000</v>
      </c>
      <c r="K85" s="126">
        <v>1000000</v>
      </c>
      <c r="L85" s="125"/>
    </row>
    <row r="86" spans="1:21" s="105" customFormat="1" ht="19.8" customHeight="1">
      <c r="A86" s="180"/>
      <c r="B86" s="224" t="s">
        <v>212</v>
      </c>
      <c r="C86" s="233">
        <v>30</v>
      </c>
      <c r="D86" s="231">
        <f t="shared" si="11"/>
        <v>13416369</v>
      </c>
      <c r="E86" s="217">
        <v>7513791</v>
      </c>
      <c r="F86" s="217">
        <v>303578</v>
      </c>
      <c r="G86" s="217">
        <v>655000</v>
      </c>
      <c r="H86" s="217"/>
      <c r="I86" s="129"/>
      <c r="J86" s="126"/>
      <c r="K86" s="130"/>
      <c r="L86" s="217">
        <v>4944000</v>
      </c>
    </row>
    <row r="87" spans="1:21" s="105" customFormat="1" ht="19.8" customHeight="1">
      <c r="A87" s="234">
        <v>2</v>
      </c>
      <c r="B87" s="224" t="s">
        <v>272</v>
      </c>
      <c r="C87" s="227">
        <v>21</v>
      </c>
      <c r="D87" s="235">
        <f>E87+F87+G87</f>
        <v>5428798</v>
      </c>
      <c r="E87" s="124">
        <v>4832611</v>
      </c>
      <c r="F87" s="124">
        <v>165687</v>
      </c>
      <c r="G87" s="124">
        <v>430500</v>
      </c>
      <c r="H87" s="124"/>
      <c r="I87" s="216"/>
      <c r="J87" s="125"/>
      <c r="K87" s="125"/>
      <c r="L87" s="125"/>
    </row>
    <row r="88" spans="1:21" s="105" customFormat="1" ht="31.2">
      <c r="A88" s="234">
        <v>3</v>
      </c>
      <c r="B88" s="224" t="s">
        <v>273</v>
      </c>
      <c r="C88" s="216"/>
      <c r="D88" s="124">
        <f>E88+F88+G88</f>
        <v>1100000</v>
      </c>
      <c r="E88" s="124"/>
      <c r="F88" s="124"/>
      <c r="G88" s="124">
        <v>1100000</v>
      </c>
      <c r="H88" s="124"/>
      <c r="I88" s="216"/>
      <c r="J88" s="125"/>
      <c r="K88" s="125"/>
      <c r="L88" s="125"/>
    </row>
    <row r="89" spans="1:21" s="105" customFormat="1" ht="19.8" customHeight="1">
      <c r="A89" s="234">
        <v>4</v>
      </c>
      <c r="B89" s="224" t="s">
        <v>285</v>
      </c>
      <c r="C89" s="216"/>
      <c r="D89" s="124">
        <f t="shared" ref="D89:D93" si="12">E89+F89+G89</f>
        <v>0</v>
      </c>
      <c r="E89" s="124"/>
      <c r="F89" s="124"/>
      <c r="G89" s="124"/>
      <c r="H89" s="124"/>
      <c r="I89" s="216"/>
      <c r="J89" s="125"/>
      <c r="K89" s="125"/>
      <c r="L89" s="125"/>
    </row>
    <row r="90" spans="1:21" s="105" customFormat="1" ht="19.8" customHeight="1">
      <c r="A90" s="234">
        <v>5</v>
      </c>
      <c r="B90" s="224" t="s">
        <v>136</v>
      </c>
      <c r="C90" s="216"/>
      <c r="D90" s="124">
        <f t="shared" si="12"/>
        <v>1400000</v>
      </c>
      <c r="E90" s="124"/>
      <c r="F90" s="124"/>
      <c r="G90" s="124">
        <v>1400000</v>
      </c>
      <c r="H90" s="124"/>
      <c r="I90" s="216"/>
      <c r="J90" s="125"/>
      <c r="K90" s="125"/>
      <c r="L90" s="125"/>
    </row>
    <row r="91" spans="1:21" s="105" customFormat="1" ht="19.8" customHeight="1">
      <c r="A91" s="234">
        <v>6</v>
      </c>
      <c r="B91" s="224" t="s">
        <v>301</v>
      </c>
      <c r="C91" s="216"/>
      <c r="D91" s="124">
        <f t="shared" si="12"/>
        <v>2791615</v>
      </c>
      <c r="E91" s="124">
        <f>2806081-14466</f>
        <v>2791615</v>
      </c>
      <c r="F91" s="124"/>
      <c r="G91" s="124"/>
      <c r="H91" s="124"/>
      <c r="I91" s="216"/>
      <c r="J91" s="125"/>
      <c r="K91" s="125"/>
      <c r="L91" s="125"/>
    </row>
    <row r="92" spans="1:21" s="105" customFormat="1" ht="25.2" customHeight="1">
      <c r="A92" s="236">
        <v>7</v>
      </c>
      <c r="B92" s="224" t="s">
        <v>361</v>
      </c>
      <c r="C92" s="216"/>
      <c r="D92" s="124">
        <f t="shared" si="12"/>
        <v>8445000</v>
      </c>
      <c r="E92" s="237"/>
      <c r="F92" s="237"/>
      <c r="G92" s="124">
        <v>8445000</v>
      </c>
      <c r="H92" s="237"/>
      <c r="I92" s="216"/>
      <c r="J92" s="125"/>
      <c r="K92" s="125"/>
      <c r="L92" s="217"/>
    </row>
    <row r="93" spans="1:21" s="159" customFormat="1" ht="19.8" customHeight="1">
      <c r="A93" s="234">
        <v>8</v>
      </c>
      <c r="B93" s="223" t="s">
        <v>280</v>
      </c>
      <c r="C93" s="217"/>
      <c r="D93" s="124">
        <f t="shared" si="12"/>
        <v>4312000</v>
      </c>
      <c r="E93" s="217"/>
      <c r="F93" s="237"/>
      <c r="G93" s="237">
        <v>4312000</v>
      </c>
      <c r="H93" s="123"/>
      <c r="I93" s="123"/>
      <c r="J93" s="123"/>
      <c r="K93" s="123"/>
      <c r="L93" s="123"/>
    </row>
    <row r="94" spans="1:21" s="47" customFormat="1" ht="20.399999999999999" customHeight="1">
      <c r="A94" s="329" t="s">
        <v>179</v>
      </c>
      <c r="B94" s="355"/>
      <c r="C94" s="355"/>
      <c r="D94" s="355"/>
      <c r="E94" s="355"/>
      <c r="F94" s="355"/>
      <c r="G94" s="238"/>
      <c r="H94" s="113"/>
      <c r="I94" s="239"/>
      <c r="J94" s="113"/>
      <c r="K94" s="116"/>
      <c r="L94" s="116"/>
      <c r="M94" s="49"/>
      <c r="N94" s="49"/>
      <c r="O94" s="49"/>
      <c r="P94" s="49"/>
      <c r="Q94" s="49"/>
      <c r="R94" s="49"/>
      <c r="S94" s="49"/>
      <c r="T94" s="49"/>
      <c r="U94" s="49"/>
    </row>
    <row r="95" spans="1:21" s="58" customFormat="1" ht="15.6">
      <c r="A95" s="238" t="s">
        <v>366</v>
      </c>
      <c r="B95" s="238"/>
      <c r="C95" s="238"/>
      <c r="D95" s="238"/>
      <c r="E95" s="238"/>
      <c r="F95" s="238"/>
      <c r="G95" s="238"/>
      <c r="H95" s="240"/>
      <c r="I95" s="114"/>
      <c r="J95" s="114"/>
      <c r="K95" s="115"/>
      <c r="L95" s="115"/>
      <c r="M95" s="80"/>
      <c r="N95" s="80"/>
      <c r="O95" s="80"/>
      <c r="P95" s="80"/>
      <c r="Q95" s="80"/>
      <c r="R95" s="80"/>
      <c r="S95" s="80"/>
      <c r="T95" s="80"/>
      <c r="U95" s="80"/>
    </row>
    <row r="96" spans="1:21" s="58" customFormat="1" ht="15.6">
      <c r="A96" s="238" t="s">
        <v>365</v>
      </c>
      <c r="B96" s="238"/>
      <c r="C96" s="238"/>
      <c r="D96" s="238"/>
      <c r="E96" s="238"/>
      <c r="F96" s="238"/>
      <c r="G96" s="238"/>
      <c r="H96" s="240"/>
      <c r="I96" s="114"/>
      <c r="J96" s="114"/>
      <c r="K96" s="115"/>
      <c r="L96" s="115"/>
      <c r="M96" s="80"/>
      <c r="N96" s="80"/>
      <c r="O96" s="80"/>
      <c r="P96" s="80"/>
      <c r="Q96" s="80"/>
      <c r="R96" s="80"/>
      <c r="S96" s="80"/>
      <c r="T96" s="80"/>
      <c r="U96" s="80"/>
    </row>
    <row r="97" spans="1:21" s="58" customFormat="1" ht="15.6">
      <c r="A97" s="238"/>
      <c r="B97" s="238" t="s">
        <v>362</v>
      </c>
      <c r="C97" s="238"/>
      <c r="D97" s="238"/>
      <c r="E97" s="238"/>
      <c r="F97" s="238"/>
      <c r="G97" s="238"/>
      <c r="H97" s="240"/>
      <c r="I97" s="114"/>
      <c r="J97" s="114"/>
      <c r="K97" s="115"/>
      <c r="L97" s="115"/>
      <c r="M97" s="80"/>
      <c r="N97" s="80"/>
      <c r="O97" s="80"/>
      <c r="P97" s="80"/>
      <c r="Q97" s="80"/>
      <c r="R97" s="80"/>
      <c r="S97" s="80"/>
      <c r="T97" s="80"/>
      <c r="U97" s="80"/>
    </row>
    <row r="98" spans="1:21" s="58" customFormat="1" ht="15.6">
      <c r="A98" s="238" t="s">
        <v>364</v>
      </c>
      <c r="B98" s="238"/>
      <c r="C98" s="238"/>
      <c r="D98" s="238"/>
      <c r="E98" s="238"/>
      <c r="F98" s="238"/>
      <c r="G98" s="238"/>
      <c r="H98" s="114"/>
      <c r="I98" s="114"/>
      <c r="J98" s="114"/>
      <c r="K98" s="115"/>
      <c r="L98" s="115"/>
      <c r="M98" s="80"/>
      <c r="N98" s="80"/>
      <c r="O98" s="80"/>
      <c r="P98" s="80"/>
      <c r="Q98" s="80"/>
      <c r="R98" s="80"/>
      <c r="S98" s="80"/>
      <c r="T98" s="80"/>
      <c r="U98" s="80"/>
    </row>
    <row r="99" spans="1:21" s="58" customFormat="1" ht="15.6">
      <c r="A99" s="238" t="s">
        <v>363</v>
      </c>
      <c r="B99" s="238"/>
      <c r="C99" s="238"/>
      <c r="D99" s="238"/>
      <c r="E99" s="238"/>
      <c r="F99" s="238"/>
      <c r="G99" s="238"/>
      <c r="H99" s="114"/>
      <c r="I99" s="114"/>
      <c r="J99" s="114"/>
      <c r="K99" s="115"/>
      <c r="L99" s="115"/>
      <c r="M99" s="80"/>
      <c r="N99" s="80"/>
      <c r="O99" s="80"/>
      <c r="P99" s="80"/>
      <c r="Q99" s="80"/>
      <c r="R99" s="80"/>
      <c r="S99" s="80"/>
      <c r="T99" s="80"/>
      <c r="U99" s="80"/>
    </row>
    <row r="100" spans="1:21" s="58" customFormat="1" ht="15.6">
      <c r="A100" s="115"/>
      <c r="B100" s="241" t="s">
        <v>367</v>
      </c>
      <c r="C100" s="242"/>
      <c r="D100" s="242"/>
      <c r="E100" s="242"/>
      <c r="F100" s="242"/>
      <c r="G100" s="242"/>
      <c r="H100" s="114"/>
      <c r="I100" s="114"/>
      <c r="J100" s="115"/>
      <c r="K100" s="115"/>
      <c r="L100" s="115"/>
      <c r="M100" s="80"/>
      <c r="N100" s="80"/>
      <c r="O100" s="80"/>
      <c r="P100" s="80"/>
      <c r="Q100" s="80"/>
      <c r="R100" s="80"/>
      <c r="S100" s="80"/>
      <c r="T100" s="80"/>
    </row>
    <row r="101" spans="1:21" s="58" customFormat="1" ht="15.6">
      <c r="A101" s="115"/>
      <c r="B101" s="241" t="s">
        <v>281</v>
      </c>
      <c r="C101" s="242"/>
      <c r="D101" s="242"/>
      <c r="E101" s="242"/>
      <c r="F101" s="242"/>
      <c r="G101" s="242"/>
      <c r="H101" s="114"/>
      <c r="I101" s="114"/>
      <c r="J101" s="115"/>
      <c r="K101" s="115"/>
      <c r="L101" s="115"/>
      <c r="M101" s="80"/>
      <c r="N101" s="80"/>
      <c r="O101" s="80"/>
      <c r="P101" s="80"/>
      <c r="Q101" s="80"/>
      <c r="R101" s="80"/>
      <c r="S101" s="80"/>
      <c r="T101" s="80"/>
    </row>
    <row r="102" spans="1:21" s="58" customFormat="1" ht="15.6">
      <c r="A102" s="115"/>
      <c r="B102" s="241" t="s">
        <v>368</v>
      </c>
      <c r="C102" s="115"/>
      <c r="D102" s="115"/>
      <c r="E102" s="115"/>
      <c r="F102" s="115"/>
      <c r="G102" s="115"/>
      <c r="H102" s="114"/>
      <c r="I102" s="114"/>
      <c r="J102" s="114"/>
      <c r="K102" s="114"/>
      <c r="L102" s="114"/>
    </row>
    <row r="103" spans="1:21" ht="15.6">
      <c r="A103" s="116"/>
      <c r="B103" s="241" t="s">
        <v>282</v>
      </c>
      <c r="C103" s="116"/>
      <c r="D103" s="116"/>
      <c r="E103" s="116"/>
      <c r="F103" s="116"/>
      <c r="G103" s="116"/>
      <c r="H103" s="116"/>
      <c r="I103" s="116"/>
      <c r="K103" s="116"/>
      <c r="L103" s="116"/>
    </row>
    <row r="104" spans="1:21" ht="15.6">
      <c r="A104" s="116"/>
      <c r="B104" s="243" t="s">
        <v>369</v>
      </c>
      <c r="C104" s="116"/>
      <c r="D104" s="116"/>
      <c r="E104" s="116"/>
      <c r="F104" s="116"/>
      <c r="G104" s="116"/>
      <c r="H104" s="116"/>
      <c r="I104" s="116"/>
      <c r="K104" s="116"/>
      <c r="L104" s="116"/>
    </row>
  </sheetData>
  <mergeCells count="12">
    <mergeCell ref="A2:L2"/>
    <mergeCell ref="A3:L3"/>
    <mergeCell ref="H5:L6"/>
    <mergeCell ref="A94:F94"/>
    <mergeCell ref="K4:L4"/>
    <mergeCell ref="A5:A7"/>
    <mergeCell ref="B5:B7"/>
    <mergeCell ref="C5:C7"/>
    <mergeCell ref="D5:D7"/>
    <mergeCell ref="E5:E7"/>
    <mergeCell ref="F5:F7"/>
    <mergeCell ref="G5:G7"/>
  </mergeCells>
  <pageMargins left="0.19685039370078741" right="0.19685039370078741" top="0.39370078740157483" bottom="0.47244094488188981" header="0.35433070866141736" footer="0.39370078740157483"/>
  <pageSetup paperSize="9" scale="85" firstPageNumber="42949631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topLeftCell="B1" workbookViewId="0">
      <selection activeCell="H7" sqref="H7"/>
    </sheetView>
  </sheetViews>
  <sheetFormatPr defaultColWidth="9" defaultRowHeight="13.8"/>
  <cols>
    <col min="1" max="1" width="6" customWidth="1"/>
    <col min="2" max="2" width="30.77734375" customWidth="1"/>
    <col min="3" max="3" width="6.44140625" customWidth="1"/>
    <col min="4" max="4" width="6.21875" customWidth="1"/>
    <col min="5" max="5" width="10.21875" customWidth="1"/>
    <col min="6" max="6" width="9.88671875" customWidth="1"/>
    <col min="7" max="7" width="11" customWidth="1"/>
    <col min="8" max="8" width="12.21875" customWidth="1"/>
    <col min="9" max="10" width="9.33203125" customWidth="1"/>
    <col min="11" max="11" width="11.109375" customWidth="1"/>
    <col min="12" max="12" width="11.6640625" customWidth="1"/>
    <col min="13" max="13" width="10.44140625" customWidth="1"/>
  </cols>
  <sheetData>
    <row r="1" spans="1:14" ht="21" customHeight="1">
      <c r="A1" s="376" t="s">
        <v>10</v>
      </c>
      <c r="B1" s="376"/>
      <c r="C1" s="26"/>
      <c r="D1" s="26"/>
      <c r="E1" s="13"/>
      <c r="F1" s="13"/>
    </row>
    <row r="2" spans="1:14" ht="21" customHeight="1">
      <c r="A2" s="377" t="s">
        <v>11</v>
      </c>
      <c r="B2" s="377"/>
      <c r="C2" s="27"/>
      <c r="D2" s="27"/>
      <c r="E2" s="378" t="s">
        <v>12</v>
      </c>
      <c r="F2" s="378"/>
      <c r="G2" s="378"/>
      <c r="H2" s="378"/>
      <c r="I2" s="378"/>
      <c r="J2" s="378"/>
      <c r="K2" s="378"/>
      <c r="L2" s="378"/>
      <c r="M2" s="378"/>
    </row>
    <row r="3" spans="1:14" ht="20.25" customHeight="1">
      <c r="A3" s="379"/>
      <c r="B3" s="379"/>
      <c r="C3" s="28"/>
      <c r="D3" s="28"/>
      <c r="E3" s="380"/>
      <c r="F3" s="380"/>
      <c r="G3" s="380"/>
      <c r="H3" s="380"/>
      <c r="I3" s="380"/>
      <c r="J3" s="380"/>
      <c r="K3" s="380"/>
      <c r="L3" s="380"/>
      <c r="M3" s="380"/>
    </row>
    <row r="4" spans="1:14" ht="20.25" customHeight="1">
      <c r="A4" s="15"/>
      <c r="B4" s="15"/>
      <c r="C4" s="15"/>
      <c r="D4" s="15"/>
      <c r="E4" s="15"/>
      <c r="F4" s="15"/>
      <c r="L4" s="375" t="s">
        <v>1</v>
      </c>
      <c r="M4" s="375"/>
    </row>
    <row r="5" spans="1:14" ht="20.25" customHeight="1">
      <c r="A5" s="7" t="s">
        <v>0</v>
      </c>
      <c r="B5" s="7" t="s">
        <v>13</v>
      </c>
      <c r="C5" s="372" t="s">
        <v>14</v>
      </c>
      <c r="D5" s="372" t="s">
        <v>15</v>
      </c>
      <c r="E5" s="360" t="s">
        <v>16</v>
      </c>
      <c r="F5" s="361"/>
      <c r="G5" s="361"/>
      <c r="H5" s="362"/>
      <c r="I5" s="363" t="s">
        <v>17</v>
      </c>
      <c r="J5" s="364"/>
      <c r="K5" s="364"/>
      <c r="L5" s="365"/>
      <c r="M5" s="1" t="s">
        <v>18</v>
      </c>
      <c r="N5" s="30"/>
    </row>
    <row r="6" spans="1:14" ht="20.25" customHeight="1">
      <c r="A6" s="8"/>
      <c r="B6" s="8"/>
      <c r="C6" s="373"/>
      <c r="D6" s="373"/>
      <c r="E6" s="18" t="s">
        <v>19</v>
      </c>
      <c r="F6" s="366" t="s">
        <v>20</v>
      </c>
      <c r="G6" s="367"/>
      <c r="H6" s="368"/>
      <c r="I6" s="18" t="s">
        <v>21</v>
      </c>
      <c r="J6" s="19" t="s">
        <v>22</v>
      </c>
      <c r="K6" s="20" t="s">
        <v>23</v>
      </c>
      <c r="L6" s="20" t="s">
        <v>24</v>
      </c>
      <c r="M6" s="2" t="s">
        <v>25</v>
      </c>
      <c r="N6" s="30"/>
    </row>
    <row r="7" spans="1:14" ht="20.25" customHeight="1">
      <c r="A7" s="21" t="s">
        <v>26</v>
      </c>
      <c r="B7" s="21" t="s">
        <v>27</v>
      </c>
      <c r="C7" s="374"/>
      <c r="D7" s="374"/>
      <c r="E7" s="22">
        <v>1</v>
      </c>
      <c r="F7" s="21" t="s">
        <v>28</v>
      </c>
      <c r="G7" s="23" t="s">
        <v>29</v>
      </c>
      <c r="H7" s="24"/>
      <c r="I7" s="23">
        <v>5</v>
      </c>
      <c r="J7" s="23">
        <v>6</v>
      </c>
      <c r="K7" s="23">
        <v>7</v>
      </c>
      <c r="L7" s="24" t="s">
        <v>30</v>
      </c>
      <c r="M7" s="23" t="s">
        <v>31</v>
      </c>
      <c r="N7" s="30"/>
    </row>
    <row r="8" spans="1:14" s="38" customFormat="1" ht="20.100000000000001" customHeight="1">
      <c r="A8" s="3" t="s">
        <v>4</v>
      </c>
      <c r="B8" s="34" t="s">
        <v>32</v>
      </c>
      <c r="C8" s="34"/>
      <c r="D8" s="3"/>
      <c r="E8" s="3">
        <f>SUM(E9:E20)</f>
        <v>0</v>
      </c>
      <c r="F8" s="3">
        <f>SUM(F9:F20)</f>
        <v>0</v>
      </c>
      <c r="G8" s="36">
        <v>0.7</v>
      </c>
      <c r="H8" s="25"/>
      <c r="I8" s="3">
        <f>SUM(I9:I20)</f>
        <v>357.18</v>
      </c>
      <c r="J8" s="3">
        <f>SUM(J9:J20)</f>
        <v>6.47</v>
      </c>
      <c r="K8" s="36">
        <v>0.7</v>
      </c>
      <c r="L8" s="25">
        <f>SUM(L9:L20)</f>
        <v>73820.95</v>
      </c>
      <c r="M8" s="35">
        <f>SUM(M9:M20)</f>
        <v>73820.95</v>
      </c>
      <c r="N8" s="41"/>
    </row>
    <row r="9" spans="1:14" s="44" customFormat="1" ht="20.100000000000001" customHeight="1">
      <c r="A9" s="4">
        <v>1</v>
      </c>
      <c r="B9" s="5" t="s">
        <v>33</v>
      </c>
      <c r="C9" s="5"/>
      <c r="D9" s="4"/>
      <c r="E9" s="37"/>
      <c r="F9" s="4"/>
      <c r="G9" s="40"/>
      <c r="H9" s="6"/>
      <c r="I9" s="42">
        <v>33</v>
      </c>
      <c r="J9" s="4">
        <v>0.35</v>
      </c>
      <c r="K9" s="40">
        <v>0.7</v>
      </c>
      <c r="L9" s="6">
        <f>(I9+J9)*290*K9</f>
        <v>6770.0499999999993</v>
      </c>
      <c r="M9" s="6">
        <f>L9-H9</f>
        <v>6770.0499999999993</v>
      </c>
      <c r="N9" s="43"/>
    </row>
    <row r="10" spans="1:14" s="44" customFormat="1" ht="20.100000000000001" customHeight="1">
      <c r="A10" s="4">
        <v>2</v>
      </c>
      <c r="B10" s="5" t="s">
        <v>34</v>
      </c>
      <c r="C10" s="5"/>
      <c r="D10" s="4"/>
      <c r="E10" s="37"/>
      <c r="F10" s="4"/>
      <c r="G10" s="40"/>
      <c r="H10" s="6"/>
      <c r="I10" s="4">
        <v>13.17</v>
      </c>
      <c r="J10" s="4"/>
      <c r="K10" s="40">
        <v>0.7</v>
      </c>
      <c r="L10" s="6">
        <f t="shared" ref="L10:L53" si="0">(I10+J10)*290*K10</f>
        <v>2673.5099999999998</v>
      </c>
      <c r="M10" s="6">
        <f t="shared" ref="M10:M53" si="1">L10-H10</f>
        <v>2673.5099999999998</v>
      </c>
      <c r="N10" s="43"/>
    </row>
    <row r="11" spans="1:14" s="44" customFormat="1" ht="20.100000000000001" customHeight="1">
      <c r="A11" s="4">
        <v>3</v>
      </c>
      <c r="B11" s="5" t="s">
        <v>35</v>
      </c>
      <c r="C11" s="5"/>
      <c r="D11" s="4"/>
      <c r="E11" s="37"/>
      <c r="F11" s="4"/>
      <c r="G11" s="40"/>
      <c r="H11" s="6"/>
      <c r="I11" s="4">
        <v>11.4</v>
      </c>
      <c r="J11" s="4"/>
      <c r="K11" s="40">
        <v>0.7</v>
      </c>
      <c r="L11" s="6">
        <f t="shared" si="0"/>
        <v>2314.1999999999998</v>
      </c>
      <c r="M11" s="6">
        <f t="shared" si="1"/>
        <v>2314.1999999999998</v>
      </c>
      <c r="N11" s="43"/>
    </row>
    <row r="12" spans="1:14" s="44" customFormat="1" ht="20.100000000000001" customHeight="1">
      <c r="A12" s="4">
        <v>4</v>
      </c>
      <c r="B12" s="5" t="s">
        <v>36</v>
      </c>
      <c r="C12" s="5"/>
      <c r="D12" s="4"/>
      <c r="E12" s="37"/>
      <c r="F12" s="4"/>
      <c r="G12" s="40"/>
      <c r="H12" s="6"/>
      <c r="I12" s="4">
        <v>29</v>
      </c>
      <c r="J12" s="4">
        <v>0.35</v>
      </c>
      <c r="K12" s="40">
        <v>0.7</v>
      </c>
      <c r="L12" s="6">
        <f t="shared" si="0"/>
        <v>5958.0499999999993</v>
      </c>
      <c r="M12" s="6">
        <f t="shared" si="1"/>
        <v>5958.0499999999993</v>
      </c>
      <c r="N12" s="43"/>
    </row>
    <row r="13" spans="1:14" s="44" customFormat="1" ht="20.100000000000001" customHeight="1">
      <c r="A13" s="4">
        <v>5</v>
      </c>
      <c r="B13" s="5" t="s">
        <v>37</v>
      </c>
      <c r="C13" s="5"/>
      <c r="D13" s="4"/>
      <c r="E13" s="37"/>
      <c r="F13" s="4"/>
      <c r="G13" s="40"/>
      <c r="H13" s="6"/>
      <c r="I13" s="4">
        <v>8.7799999999999994</v>
      </c>
      <c r="J13" s="4">
        <v>0.6</v>
      </c>
      <c r="K13" s="40">
        <v>0.7</v>
      </c>
      <c r="L13" s="6">
        <f t="shared" si="0"/>
        <v>1904.1399999999996</v>
      </c>
      <c r="M13" s="6">
        <f t="shared" si="1"/>
        <v>1904.1399999999996</v>
      </c>
      <c r="N13" s="43"/>
    </row>
    <row r="14" spans="1:14" s="44" customFormat="1" ht="20.100000000000001" customHeight="1">
      <c r="A14" s="4">
        <v>6</v>
      </c>
      <c r="B14" s="5" t="s">
        <v>38</v>
      </c>
      <c r="C14" s="5"/>
      <c r="D14" s="4"/>
      <c r="E14" s="37"/>
      <c r="F14" s="4"/>
      <c r="G14" s="40"/>
      <c r="H14" s="6"/>
      <c r="I14" s="4">
        <v>14.07</v>
      </c>
      <c r="J14" s="4">
        <v>0.5</v>
      </c>
      <c r="K14" s="40">
        <v>0.7</v>
      </c>
      <c r="L14" s="6">
        <f t="shared" si="0"/>
        <v>2957.71</v>
      </c>
      <c r="M14" s="6">
        <f t="shared" si="1"/>
        <v>2957.71</v>
      </c>
      <c r="N14" s="43"/>
    </row>
    <row r="15" spans="1:14" s="44" customFormat="1" ht="20.100000000000001" customHeight="1">
      <c r="A15" s="4">
        <v>7</v>
      </c>
      <c r="B15" s="31" t="s">
        <v>39</v>
      </c>
      <c r="C15" s="31"/>
      <c r="D15" s="45"/>
      <c r="E15" s="37"/>
      <c r="F15" s="4"/>
      <c r="G15" s="40"/>
      <c r="H15" s="6"/>
      <c r="I15" s="4">
        <v>31.71</v>
      </c>
      <c r="J15" s="4">
        <v>0.95</v>
      </c>
      <c r="K15" s="40">
        <v>0.7</v>
      </c>
      <c r="L15" s="6">
        <f t="shared" si="0"/>
        <v>6629.9800000000005</v>
      </c>
      <c r="M15" s="6">
        <f t="shared" si="1"/>
        <v>6629.9800000000005</v>
      </c>
      <c r="N15" s="43"/>
    </row>
    <row r="16" spans="1:14" s="44" customFormat="1" ht="20.100000000000001" customHeight="1">
      <c r="A16" s="4">
        <v>8</v>
      </c>
      <c r="B16" s="5" t="s">
        <v>40</v>
      </c>
      <c r="C16" s="5"/>
      <c r="D16" s="4"/>
      <c r="E16" s="37"/>
      <c r="F16" s="4"/>
      <c r="G16" s="40"/>
      <c r="H16" s="6"/>
      <c r="I16" s="4">
        <v>41.43</v>
      </c>
      <c r="J16" s="4">
        <v>0.27</v>
      </c>
      <c r="K16" s="40">
        <v>0.7</v>
      </c>
      <c r="L16" s="6">
        <f t="shared" si="0"/>
        <v>8465.1</v>
      </c>
      <c r="M16" s="6">
        <f t="shared" si="1"/>
        <v>8465.1</v>
      </c>
      <c r="N16" s="43"/>
    </row>
    <row r="17" spans="1:14" s="44" customFormat="1" ht="20.100000000000001" customHeight="1">
      <c r="A17" s="4">
        <v>9</v>
      </c>
      <c r="B17" s="5" t="s">
        <v>41</v>
      </c>
      <c r="C17" s="5"/>
      <c r="D17" s="4"/>
      <c r="E17" s="37"/>
      <c r="F17" s="4"/>
      <c r="G17" s="40"/>
      <c r="H17" s="6"/>
      <c r="I17" s="4">
        <v>53.62</v>
      </c>
      <c r="J17" s="4">
        <v>0.8</v>
      </c>
      <c r="K17" s="40">
        <v>0.7</v>
      </c>
      <c r="L17" s="6">
        <f t="shared" si="0"/>
        <v>11047.259999999998</v>
      </c>
      <c r="M17" s="6">
        <f t="shared" si="1"/>
        <v>11047.259999999998</v>
      </c>
      <c r="N17" s="43"/>
    </row>
    <row r="18" spans="1:14" s="44" customFormat="1" ht="20.100000000000001" customHeight="1">
      <c r="A18" s="4">
        <v>10</v>
      </c>
      <c r="B18" s="5" t="s">
        <v>42</v>
      </c>
      <c r="C18" s="5"/>
      <c r="D18" s="4"/>
      <c r="E18" s="37"/>
      <c r="F18" s="4"/>
      <c r="G18" s="40"/>
      <c r="H18" s="6"/>
      <c r="I18" s="4">
        <v>36.57</v>
      </c>
      <c r="J18" s="4">
        <v>0.8</v>
      </c>
      <c r="K18" s="40">
        <v>0.7</v>
      </c>
      <c r="L18" s="6">
        <f t="shared" si="0"/>
        <v>7586.1099999999988</v>
      </c>
      <c r="M18" s="6">
        <f t="shared" si="1"/>
        <v>7586.1099999999988</v>
      </c>
      <c r="N18" s="43"/>
    </row>
    <row r="19" spans="1:14" s="44" customFormat="1" ht="20.100000000000001" customHeight="1">
      <c r="A19" s="4">
        <v>11</v>
      </c>
      <c r="B19" s="5" t="s">
        <v>43</v>
      </c>
      <c r="C19" s="5"/>
      <c r="D19" s="4"/>
      <c r="E19" s="37"/>
      <c r="F19" s="4"/>
      <c r="G19" s="40"/>
      <c r="H19" s="6"/>
      <c r="I19" s="4">
        <v>42.3</v>
      </c>
      <c r="J19" s="4">
        <v>1.4</v>
      </c>
      <c r="K19" s="40">
        <v>0.7</v>
      </c>
      <c r="L19" s="6">
        <f t="shared" si="0"/>
        <v>8871.0999999999985</v>
      </c>
      <c r="M19" s="6">
        <f t="shared" si="1"/>
        <v>8871.0999999999985</v>
      </c>
      <c r="N19" s="43"/>
    </row>
    <row r="20" spans="1:14" s="44" customFormat="1" ht="20.100000000000001" customHeight="1">
      <c r="A20" s="4">
        <v>12</v>
      </c>
      <c r="B20" s="5" t="s">
        <v>44</v>
      </c>
      <c r="C20" s="5"/>
      <c r="D20" s="4"/>
      <c r="E20" s="37"/>
      <c r="F20" s="4"/>
      <c r="G20" s="40"/>
      <c r="H20" s="6"/>
      <c r="I20" s="4">
        <v>42.13</v>
      </c>
      <c r="J20" s="4">
        <v>0.45</v>
      </c>
      <c r="K20" s="40">
        <v>0.7</v>
      </c>
      <c r="L20" s="6">
        <f t="shared" si="0"/>
        <v>8643.74</v>
      </c>
      <c r="M20" s="6">
        <f t="shared" si="1"/>
        <v>8643.74</v>
      </c>
      <c r="N20" s="43"/>
    </row>
    <row r="21" spans="1:14" s="44" customFormat="1" ht="20.100000000000001" customHeight="1">
      <c r="A21" s="4"/>
      <c r="B21" s="5"/>
      <c r="C21" s="5"/>
      <c r="D21" s="4"/>
      <c r="E21" s="29"/>
      <c r="F21" s="5"/>
      <c r="G21" s="40"/>
      <c r="H21" s="6"/>
      <c r="I21" s="4"/>
      <c r="J21" s="4"/>
      <c r="K21" s="40"/>
      <c r="L21" s="6"/>
      <c r="M21" s="6"/>
      <c r="N21" s="43"/>
    </row>
    <row r="22" spans="1:14" s="38" customFormat="1" ht="20.100000000000001" customHeight="1">
      <c r="A22" s="10" t="s">
        <v>5</v>
      </c>
      <c r="B22" s="9" t="s">
        <v>45</v>
      </c>
      <c r="C22" s="9"/>
      <c r="D22" s="10">
        <f>SUM(D23:D37)</f>
        <v>297</v>
      </c>
      <c r="E22" s="10">
        <f t="shared" ref="E22:M22" si="2">SUM(E23:E37)</f>
        <v>655.94999999999993</v>
      </c>
      <c r="F22" s="10">
        <f t="shared" si="2"/>
        <v>9.8999999999999986</v>
      </c>
      <c r="G22" s="39">
        <v>0.7</v>
      </c>
      <c r="H22" s="12">
        <f t="shared" si="2"/>
        <v>135167.54999999999</v>
      </c>
      <c r="I22" s="10">
        <f t="shared" si="2"/>
        <v>747.88</v>
      </c>
      <c r="J22" s="10">
        <f t="shared" si="2"/>
        <v>16.900000000000002</v>
      </c>
      <c r="K22" s="39">
        <v>0.7</v>
      </c>
      <c r="L22" s="12">
        <f t="shared" si="2"/>
        <v>155250.34</v>
      </c>
      <c r="M22" s="12">
        <f t="shared" si="2"/>
        <v>20082.790000000008</v>
      </c>
      <c r="N22" s="41"/>
    </row>
    <row r="23" spans="1:14" s="44" customFormat="1" ht="20.100000000000001" customHeight="1">
      <c r="A23" s="4">
        <v>1</v>
      </c>
      <c r="B23" s="5" t="s">
        <v>46</v>
      </c>
      <c r="C23" s="5"/>
      <c r="D23" s="4">
        <v>19</v>
      </c>
      <c r="E23" s="37">
        <v>41.17</v>
      </c>
      <c r="F23" s="4">
        <v>0.6</v>
      </c>
      <c r="G23" s="40">
        <v>0.7</v>
      </c>
      <c r="H23" s="6">
        <f t="shared" ref="H23:H53" si="3">(E23+F23)*290*G23</f>
        <v>8479.31</v>
      </c>
      <c r="I23" s="4">
        <v>48.89</v>
      </c>
      <c r="J23" s="4">
        <v>0.7</v>
      </c>
      <c r="K23" s="40">
        <v>0.7</v>
      </c>
      <c r="L23" s="6">
        <f t="shared" si="0"/>
        <v>10066.77</v>
      </c>
      <c r="M23" s="6">
        <f t="shared" si="1"/>
        <v>1587.4600000000009</v>
      </c>
      <c r="N23" s="43"/>
    </row>
    <row r="24" spans="1:14" s="44" customFormat="1" ht="20.100000000000001" customHeight="1">
      <c r="A24" s="4">
        <v>2</v>
      </c>
      <c r="B24" s="5" t="s">
        <v>47</v>
      </c>
      <c r="C24" s="5"/>
      <c r="D24" s="4">
        <v>19</v>
      </c>
      <c r="E24" s="37">
        <v>42.41</v>
      </c>
      <c r="F24" s="4">
        <v>1.1000000000000001</v>
      </c>
      <c r="G24" s="40">
        <v>0.7</v>
      </c>
      <c r="H24" s="6">
        <f t="shared" si="3"/>
        <v>8832.5299999999988</v>
      </c>
      <c r="I24" s="4">
        <v>50.34</v>
      </c>
      <c r="J24" s="4">
        <v>1.1000000000000001</v>
      </c>
      <c r="K24" s="40">
        <v>0.7</v>
      </c>
      <c r="L24" s="6">
        <f t="shared" si="0"/>
        <v>10442.320000000002</v>
      </c>
      <c r="M24" s="6">
        <f t="shared" si="1"/>
        <v>1609.7900000000027</v>
      </c>
      <c r="N24" s="43"/>
    </row>
    <row r="25" spans="1:14" s="44" customFormat="1" ht="20.100000000000001" customHeight="1">
      <c r="A25" s="4">
        <v>3</v>
      </c>
      <c r="B25" s="5" t="s">
        <v>48</v>
      </c>
      <c r="C25" s="5"/>
      <c r="D25" s="4">
        <v>23</v>
      </c>
      <c r="E25" s="37">
        <v>50.39</v>
      </c>
      <c r="F25" s="4">
        <v>0.6</v>
      </c>
      <c r="G25" s="40">
        <v>0.7</v>
      </c>
      <c r="H25" s="6">
        <f t="shared" si="3"/>
        <v>10350.969999999999</v>
      </c>
      <c r="I25" s="4">
        <v>59.66</v>
      </c>
      <c r="J25" s="4">
        <v>0.9</v>
      </c>
      <c r="K25" s="40">
        <v>0.7</v>
      </c>
      <c r="L25" s="6">
        <f t="shared" si="0"/>
        <v>12293.679999999998</v>
      </c>
      <c r="M25" s="6">
        <f t="shared" si="1"/>
        <v>1942.7099999999991</v>
      </c>
      <c r="N25" s="43"/>
    </row>
    <row r="26" spans="1:14" s="44" customFormat="1" ht="20.100000000000001" customHeight="1">
      <c r="A26" s="4">
        <v>4</v>
      </c>
      <c r="B26" s="5" t="s">
        <v>49</v>
      </c>
      <c r="C26" s="5"/>
      <c r="D26" s="4">
        <v>11</v>
      </c>
      <c r="E26" s="37">
        <v>21.31</v>
      </c>
      <c r="F26" s="4">
        <v>0.3</v>
      </c>
      <c r="G26" s="40">
        <v>0.7</v>
      </c>
      <c r="H26" s="6">
        <f t="shared" si="3"/>
        <v>4386.829999999999</v>
      </c>
      <c r="I26" s="4">
        <v>25.2</v>
      </c>
      <c r="J26" s="4">
        <v>0.3</v>
      </c>
      <c r="K26" s="40">
        <v>0.7</v>
      </c>
      <c r="L26" s="6">
        <f t="shared" si="0"/>
        <v>5176.5</v>
      </c>
      <c r="M26" s="6">
        <f t="shared" si="1"/>
        <v>789.67000000000098</v>
      </c>
      <c r="N26" s="43"/>
    </row>
    <row r="27" spans="1:14" s="44" customFormat="1" ht="20.100000000000001" customHeight="1">
      <c r="A27" s="4">
        <v>5</v>
      </c>
      <c r="B27" s="5" t="s">
        <v>50</v>
      </c>
      <c r="C27" s="5"/>
      <c r="D27" s="4">
        <v>27</v>
      </c>
      <c r="E27" s="37">
        <v>55.48</v>
      </c>
      <c r="F27" s="4">
        <v>0.55000000000000004</v>
      </c>
      <c r="G27" s="40">
        <v>0.7</v>
      </c>
      <c r="H27" s="6">
        <f t="shared" si="3"/>
        <v>11374.089999999998</v>
      </c>
      <c r="I27" s="4">
        <v>65.63</v>
      </c>
      <c r="J27" s="4">
        <v>2.25</v>
      </c>
      <c r="K27" s="40">
        <v>0.7</v>
      </c>
      <c r="L27" s="6">
        <f t="shared" si="0"/>
        <v>13779.639999999998</v>
      </c>
      <c r="M27" s="6">
        <f t="shared" si="1"/>
        <v>2405.5499999999993</v>
      </c>
      <c r="N27" s="43"/>
    </row>
    <row r="28" spans="1:14" s="44" customFormat="1" ht="20.100000000000001" customHeight="1">
      <c r="A28" s="4">
        <v>6</v>
      </c>
      <c r="B28" s="5" t="s">
        <v>51</v>
      </c>
      <c r="C28" s="5"/>
      <c r="D28" s="4">
        <v>15</v>
      </c>
      <c r="E28" s="37">
        <v>32.56</v>
      </c>
      <c r="F28" s="4">
        <v>0.6</v>
      </c>
      <c r="G28" s="40">
        <v>0.7</v>
      </c>
      <c r="H28" s="6">
        <f t="shared" si="3"/>
        <v>6731.4800000000005</v>
      </c>
      <c r="I28" s="4">
        <v>38.17</v>
      </c>
      <c r="J28" s="4">
        <v>2</v>
      </c>
      <c r="K28" s="40">
        <v>0.7</v>
      </c>
      <c r="L28" s="6">
        <f t="shared" si="0"/>
        <v>8154.51</v>
      </c>
      <c r="M28" s="6">
        <f t="shared" si="1"/>
        <v>1423.0299999999997</v>
      </c>
      <c r="N28" s="43"/>
    </row>
    <row r="29" spans="1:14" s="44" customFormat="1" ht="20.100000000000001" customHeight="1">
      <c r="A29" s="4">
        <v>7</v>
      </c>
      <c r="B29" s="5" t="s">
        <v>52</v>
      </c>
      <c r="C29" s="5"/>
      <c r="D29" s="4">
        <v>8</v>
      </c>
      <c r="E29" s="37">
        <v>17.829999999999998</v>
      </c>
      <c r="F29" s="4">
        <v>0.15</v>
      </c>
      <c r="G29" s="40">
        <v>0.7</v>
      </c>
      <c r="H29" s="6">
        <f t="shared" si="3"/>
        <v>3649.9399999999991</v>
      </c>
      <c r="I29" s="4">
        <v>21.08</v>
      </c>
      <c r="J29" s="4">
        <v>0.7</v>
      </c>
      <c r="K29" s="40">
        <v>0.7</v>
      </c>
      <c r="L29" s="6">
        <f t="shared" si="0"/>
        <v>4421.3399999999992</v>
      </c>
      <c r="M29" s="6">
        <f t="shared" si="1"/>
        <v>771.40000000000009</v>
      </c>
      <c r="N29" s="43"/>
    </row>
    <row r="30" spans="1:14" s="44" customFormat="1" ht="20.100000000000001" customHeight="1">
      <c r="A30" s="4">
        <v>8</v>
      </c>
      <c r="B30" s="5" t="s">
        <v>53</v>
      </c>
      <c r="C30" s="5"/>
      <c r="D30" s="4">
        <v>18</v>
      </c>
      <c r="E30" s="37">
        <v>42.37</v>
      </c>
      <c r="F30" s="4">
        <v>0.6</v>
      </c>
      <c r="G30" s="40">
        <v>0.7</v>
      </c>
      <c r="H30" s="6">
        <f t="shared" si="3"/>
        <v>8722.909999999998</v>
      </c>
      <c r="I30" s="4">
        <v>50.08</v>
      </c>
      <c r="J30" s="4">
        <v>0.6</v>
      </c>
      <c r="K30" s="40">
        <v>0.7</v>
      </c>
      <c r="L30" s="6">
        <f t="shared" si="0"/>
        <v>10288.039999999999</v>
      </c>
      <c r="M30" s="6">
        <f t="shared" si="1"/>
        <v>1565.130000000001</v>
      </c>
      <c r="N30" s="43"/>
    </row>
    <row r="31" spans="1:14" s="44" customFormat="1" ht="20.100000000000001" customHeight="1">
      <c r="A31" s="4">
        <v>9</v>
      </c>
      <c r="B31" s="5" t="s">
        <v>54</v>
      </c>
      <c r="C31" s="5"/>
      <c r="D31" s="4">
        <v>19</v>
      </c>
      <c r="E31" s="37">
        <v>40.33</v>
      </c>
      <c r="F31" s="4">
        <v>0.6</v>
      </c>
      <c r="G31" s="40">
        <v>0.7</v>
      </c>
      <c r="H31" s="6">
        <f t="shared" si="3"/>
        <v>8308.7900000000009</v>
      </c>
      <c r="I31" s="4">
        <v>47.68</v>
      </c>
      <c r="J31" s="4">
        <v>0.6</v>
      </c>
      <c r="K31" s="40">
        <v>0.7</v>
      </c>
      <c r="L31" s="6">
        <f t="shared" si="0"/>
        <v>9800.84</v>
      </c>
      <c r="M31" s="6">
        <f t="shared" si="1"/>
        <v>1492.0499999999993</v>
      </c>
      <c r="N31" s="43"/>
    </row>
    <row r="32" spans="1:14" s="44" customFormat="1" ht="20.100000000000001" customHeight="1">
      <c r="A32" s="4">
        <v>10</v>
      </c>
      <c r="B32" s="5" t="s">
        <v>55</v>
      </c>
      <c r="C32" s="5"/>
      <c r="D32" s="4">
        <v>22</v>
      </c>
      <c r="E32" s="37">
        <v>41.99</v>
      </c>
      <c r="F32" s="4">
        <v>0.6</v>
      </c>
      <c r="G32" s="40">
        <v>0.7</v>
      </c>
      <c r="H32" s="6">
        <f t="shared" si="3"/>
        <v>8645.77</v>
      </c>
      <c r="I32" s="4">
        <v>49.72</v>
      </c>
      <c r="J32" s="4">
        <v>0.85</v>
      </c>
      <c r="K32" s="40">
        <v>0.7</v>
      </c>
      <c r="L32" s="6">
        <f t="shared" si="0"/>
        <v>10265.709999999999</v>
      </c>
      <c r="M32" s="6">
        <f t="shared" si="1"/>
        <v>1619.9399999999987</v>
      </c>
      <c r="N32" s="43"/>
    </row>
    <row r="33" spans="1:14" s="44" customFormat="1" ht="20.100000000000001" customHeight="1">
      <c r="A33" s="4">
        <v>11</v>
      </c>
      <c r="B33" s="31" t="s">
        <v>56</v>
      </c>
      <c r="C33" s="31"/>
      <c r="D33" s="4">
        <v>19</v>
      </c>
      <c r="E33" s="37">
        <v>39.369999999999997</v>
      </c>
      <c r="F33" s="4">
        <v>0.6</v>
      </c>
      <c r="G33" s="40">
        <v>0.7</v>
      </c>
      <c r="H33" s="6">
        <f t="shared" si="3"/>
        <v>8113.9099999999989</v>
      </c>
      <c r="I33" s="4">
        <v>47.02</v>
      </c>
      <c r="J33" s="4">
        <v>0.9</v>
      </c>
      <c r="K33" s="40">
        <v>0.7</v>
      </c>
      <c r="L33" s="6">
        <f t="shared" si="0"/>
        <v>9727.76</v>
      </c>
      <c r="M33" s="6">
        <f t="shared" si="1"/>
        <v>1613.8500000000013</v>
      </c>
      <c r="N33" s="43"/>
    </row>
    <row r="34" spans="1:14" s="44" customFormat="1" ht="20.100000000000001" customHeight="1">
      <c r="A34" s="4">
        <v>12</v>
      </c>
      <c r="B34" s="5" t="s">
        <v>57</v>
      </c>
      <c r="C34" s="5"/>
      <c r="D34" s="4">
        <v>17</v>
      </c>
      <c r="E34" s="37">
        <v>34.58</v>
      </c>
      <c r="F34" s="4">
        <v>1.6</v>
      </c>
      <c r="G34" s="40">
        <v>0.7</v>
      </c>
      <c r="H34" s="6">
        <f t="shared" si="3"/>
        <v>7344.54</v>
      </c>
      <c r="I34" s="4">
        <v>41.32</v>
      </c>
      <c r="J34" s="4">
        <v>1.7</v>
      </c>
      <c r="K34" s="40">
        <v>0.7</v>
      </c>
      <c r="L34" s="6">
        <f t="shared" si="0"/>
        <v>8733.06</v>
      </c>
      <c r="M34" s="6">
        <f t="shared" si="1"/>
        <v>1388.5199999999995</v>
      </c>
      <c r="N34" s="43"/>
    </row>
    <row r="35" spans="1:14" s="44" customFormat="1" ht="20.100000000000001" customHeight="1">
      <c r="A35" s="4">
        <v>13</v>
      </c>
      <c r="B35" s="5" t="s">
        <v>58</v>
      </c>
      <c r="C35" s="5"/>
      <c r="D35" s="4">
        <v>22</v>
      </c>
      <c r="E35" s="37">
        <v>44.67</v>
      </c>
      <c r="F35" s="4">
        <v>0.4</v>
      </c>
      <c r="G35" s="40">
        <v>0.7</v>
      </c>
      <c r="H35" s="6">
        <f t="shared" si="3"/>
        <v>9149.2099999999991</v>
      </c>
      <c r="I35" s="4">
        <v>53.49</v>
      </c>
      <c r="J35" s="4">
        <v>1.9</v>
      </c>
      <c r="K35" s="40">
        <v>0.7</v>
      </c>
      <c r="L35" s="6">
        <f t="shared" si="0"/>
        <v>11244.17</v>
      </c>
      <c r="M35" s="6">
        <f t="shared" si="1"/>
        <v>2094.9600000000009</v>
      </c>
      <c r="N35" s="43"/>
    </row>
    <row r="36" spans="1:14" s="44" customFormat="1" ht="20.100000000000001" customHeight="1">
      <c r="A36" s="4">
        <v>14</v>
      </c>
      <c r="B36" s="5" t="s">
        <v>59</v>
      </c>
      <c r="C36" s="5"/>
      <c r="D36" s="4">
        <v>40</v>
      </c>
      <c r="E36" s="37">
        <v>112.95</v>
      </c>
      <c r="F36" s="4">
        <v>0.85</v>
      </c>
      <c r="G36" s="40">
        <v>0.7</v>
      </c>
      <c r="H36" s="6">
        <f t="shared" si="3"/>
        <v>23101.399999999998</v>
      </c>
      <c r="I36" s="4">
        <v>103.4</v>
      </c>
      <c r="J36" s="4">
        <v>1.3</v>
      </c>
      <c r="K36" s="40">
        <v>0.7</v>
      </c>
      <c r="L36" s="6">
        <f t="shared" si="0"/>
        <v>21254.1</v>
      </c>
      <c r="M36" s="6">
        <f t="shared" si="1"/>
        <v>-1847.2999999999993</v>
      </c>
      <c r="N36" s="43"/>
    </row>
    <row r="37" spans="1:14" s="44" customFormat="1" ht="20.100000000000001" customHeight="1">
      <c r="A37" s="4">
        <v>15</v>
      </c>
      <c r="B37" s="5" t="s">
        <v>60</v>
      </c>
      <c r="C37" s="5"/>
      <c r="D37" s="4">
        <v>18</v>
      </c>
      <c r="E37" s="37">
        <v>38.54</v>
      </c>
      <c r="F37" s="4">
        <v>0.75</v>
      </c>
      <c r="G37" s="40">
        <v>0.7</v>
      </c>
      <c r="H37" s="6">
        <f t="shared" si="3"/>
        <v>7975.87</v>
      </c>
      <c r="I37" s="4">
        <v>46.2</v>
      </c>
      <c r="J37" s="4">
        <v>1.1000000000000001</v>
      </c>
      <c r="K37" s="40">
        <v>0.7</v>
      </c>
      <c r="L37" s="6">
        <f t="shared" si="0"/>
        <v>9601.9000000000015</v>
      </c>
      <c r="M37" s="6">
        <f t="shared" si="1"/>
        <v>1626.0300000000016</v>
      </c>
      <c r="N37" s="43"/>
    </row>
    <row r="38" spans="1:14" s="44" customFormat="1" ht="20.100000000000001" customHeight="1">
      <c r="A38" s="4"/>
      <c r="B38" s="5"/>
      <c r="C38" s="5"/>
      <c r="D38" s="4"/>
      <c r="E38" s="29"/>
      <c r="F38" s="5"/>
      <c r="G38" s="40"/>
      <c r="H38" s="6"/>
      <c r="I38" s="4"/>
      <c r="J38" s="4"/>
      <c r="K38" s="40"/>
      <c r="L38" s="6"/>
      <c r="M38" s="6"/>
      <c r="N38" s="43"/>
    </row>
    <row r="39" spans="1:14" s="38" customFormat="1" ht="20.100000000000001" customHeight="1">
      <c r="A39" s="10" t="s">
        <v>7</v>
      </c>
      <c r="B39" s="9" t="s">
        <v>61</v>
      </c>
      <c r="C39" s="9"/>
      <c r="D39" s="10">
        <f>SUM(D40:D53)</f>
        <v>42</v>
      </c>
      <c r="E39" s="10">
        <f t="shared" ref="E39:M39" si="4">SUM(E40:E53)</f>
        <v>63.61999999999999</v>
      </c>
      <c r="F39" s="10">
        <f t="shared" si="4"/>
        <v>1.3</v>
      </c>
      <c r="G39" s="39">
        <v>0.7</v>
      </c>
      <c r="H39" s="12">
        <f t="shared" si="4"/>
        <v>13178.76</v>
      </c>
      <c r="I39" s="10">
        <f t="shared" si="4"/>
        <v>83.25</v>
      </c>
      <c r="J39" s="10">
        <f t="shared" si="4"/>
        <v>2.5</v>
      </c>
      <c r="K39" s="39">
        <v>0.7</v>
      </c>
      <c r="L39" s="12">
        <f t="shared" si="4"/>
        <v>17407.249999999996</v>
      </c>
      <c r="M39" s="12">
        <f t="shared" si="4"/>
        <v>4228.49</v>
      </c>
      <c r="N39" s="41"/>
    </row>
    <row r="40" spans="1:14" s="44" customFormat="1" ht="20.100000000000001" customHeight="1">
      <c r="A40" s="4">
        <v>1</v>
      </c>
      <c r="B40" s="5" t="s">
        <v>62</v>
      </c>
      <c r="C40" s="5"/>
      <c r="D40" s="4">
        <v>2</v>
      </c>
      <c r="E40" s="37">
        <v>2.8</v>
      </c>
      <c r="F40" s="4">
        <v>0.1</v>
      </c>
      <c r="G40" s="40">
        <v>0.7</v>
      </c>
      <c r="H40" s="6">
        <f t="shared" si="3"/>
        <v>588.69999999999993</v>
      </c>
      <c r="I40" s="4">
        <v>3.72</v>
      </c>
      <c r="J40" s="4">
        <v>0.25</v>
      </c>
      <c r="K40" s="40">
        <v>0.7</v>
      </c>
      <c r="L40" s="6">
        <f t="shared" si="0"/>
        <v>805.91</v>
      </c>
      <c r="M40" s="6">
        <f t="shared" si="1"/>
        <v>217.21000000000004</v>
      </c>
      <c r="N40" s="43"/>
    </row>
    <row r="41" spans="1:14" s="44" customFormat="1" ht="20.100000000000001" customHeight="1">
      <c r="A41" s="4">
        <v>2</v>
      </c>
      <c r="B41" s="5" t="s">
        <v>63</v>
      </c>
      <c r="C41" s="5"/>
      <c r="D41" s="4">
        <v>3</v>
      </c>
      <c r="E41" s="37">
        <v>4.2</v>
      </c>
      <c r="F41" s="4"/>
      <c r="G41" s="40">
        <v>0.7</v>
      </c>
      <c r="H41" s="6">
        <f t="shared" si="3"/>
        <v>852.59999999999991</v>
      </c>
      <c r="I41" s="4">
        <v>5.16</v>
      </c>
      <c r="J41" s="4"/>
      <c r="K41" s="40">
        <v>0.7</v>
      </c>
      <c r="L41" s="6">
        <f t="shared" si="0"/>
        <v>1047.48</v>
      </c>
      <c r="M41" s="6">
        <f t="shared" si="1"/>
        <v>194.88000000000011</v>
      </c>
      <c r="N41" s="43"/>
    </row>
    <row r="42" spans="1:14" s="44" customFormat="1" ht="20.100000000000001" customHeight="1">
      <c r="A42" s="4">
        <v>3</v>
      </c>
      <c r="B42" s="5" t="s">
        <v>64</v>
      </c>
      <c r="C42" s="5"/>
      <c r="D42" s="4">
        <v>3</v>
      </c>
      <c r="E42" s="37">
        <v>4.2</v>
      </c>
      <c r="F42" s="4"/>
      <c r="G42" s="40">
        <v>0.7</v>
      </c>
      <c r="H42" s="6">
        <f t="shared" si="3"/>
        <v>852.59999999999991</v>
      </c>
      <c r="I42" s="4">
        <v>5.37</v>
      </c>
      <c r="J42" s="4"/>
      <c r="K42" s="40">
        <v>0.7</v>
      </c>
      <c r="L42" s="6">
        <f t="shared" si="0"/>
        <v>1090.1099999999999</v>
      </c>
      <c r="M42" s="6">
        <f t="shared" si="1"/>
        <v>237.51</v>
      </c>
      <c r="N42" s="43"/>
    </row>
    <row r="43" spans="1:14" s="44" customFormat="1" ht="20.100000000000001" customHeight="1">
      <c r="A43" s="4">
        <v>4</v>
      </c>
      <c r="B43" s="5" t="s">
        <v>65</v>
      </c>
      <c r="C43" s="5"/>
      <c r="D43" s="4">
        <v>2</v>
      </c>
      <c r="E43" s="37">
        <v>3.04</v>
      </c>
      <c r="F43" s="4"/>
      <c r="G43" s="40">
        <v>0.7</v>
      </c>
      <c r="H43" s="6">
        <f t="shared" si="3"/>
        <v>617.12</v>
      </c>
      <c r="I43" s="4">
        <v>4.12</v>
      </c>
      <c r="J43" s="4"/>
      <c r="K43" s="40">
        <v>0.7</v>
      </c>
      <c r="L43" s="6">
        <f t="shared" si="0"/>
        <v>836.3599999999999</v>
      </c>
      <c r="M43" s="6">
        <f t="shared" si="1"/>
        <v>219.2399999999999</v>
      </c>
      <c r="N43" s="43"/>
    </row>
    <row r="44" spans="1:14" s="44" customFormat="1" ht="20.100000000000001" customHeight="1">
      <c r="A44" s="4">
        <v>5</v>
      </c>
      <c r="B44" s="5" t="s">
        <v>66</v>
      </c>
      <c r="C44" s="5"/>
      <c r="D44" s="4">
        <v>2</v>
      </c>
      <c r="E44" s="37">
        <v>2.8</v>
      </c>
      <c r="F44" s="4"/>
      <c r="G44" s="40">
        <v>0.7</v>
      </c>
      <c r="H44" s="6">
        <f t="shared" si="3"/>
        <v>568.4</v>
      </c>
      <c r="I44" s="4">
        <v>3.51</v>
      </c>
      <c r="J44" s="4"/>
      <c r="K44" s="40">
        <v>0.7</v>
      </c>
      <c r="L44" s="6">
        <f t="shared" si="0"/>
        <v>712.53</v>
      </c>
      <c r="M44" s="6">
        <f t="shared" si="1"/>
        <v>144.13</v>
      </c>
      <c r="N44" s="43"/>
    </row>
    <row r="45" spans="1:14" s="44" customFormat="1" ht="20.100000000000001" customHeight="1">
      <c r="A45" s="4">
        <v>6</v>
      </c>
      <c r="B45" s="5" t="s">
        <v>67</v>
      </c>
      <c r="C45" s="5"/>
      <c r="D45" s="4">
        <v>3</v>
      </c>
      <c r="E45" s="37">
        <v>4.68</v>
      </c>
      <c r="F45" s="4">
        <v>0.2</v>
      </c>
      <c r="G45" s="40">
        <v>0.7</v>
      </c>
      <c r="H45" s="6">
        <f t="shared" si="3"/>
        <v>990.64</v>
      </c>
      <c r="I45" s="4">
        <v>6.38</v>
      </c>
      <c r="J45" s="4">
        <v>0.35</v>
      </c>
      <c r="K45" s="40">
        <v>0.7</v>
      </c>
      <c r="L45" s="6">
        <f t="shared" si="0"/>
        <v>1366.1899999999998</v>
      </c>
      <c r="M45" s="6">
        <f t="shared" si="1"/>
        <v>375.54999999999984</v>
      </c>
      <c r="N45" s="43"/>
    </row>
    <row r="46" spans="1:14" s="44" customFormat="1" ht="20.100000000000001" customHeight="1">
      <c r="A46" s="4">
        <v>7</v>
      </c>
      <c r="B46" s="5" t="s">
        <v>68</v>
      </c>
      <c r="C46" s="5"/>
      <c r="D46" s="4">
        <v>4</v>
      </c>
      <c r="E46" s="37">
        <v>5.72</v>
      </c>
      <c r="F46" s="4">
        <v>0.2</v>
      </c>
      <c r="G46" s="40">
        <v>0.7</v>
      </c>
      <c r="H46" s="6">
        <f t="shared" si="3"/>
        <v>1201.76</v>
      </c>
      <c r="I46" s="4">
        <v>7.64</v>
      </c>
      <c r="J46" s="4">
        <v>0.35</v>
      </c>
      <c r="K46" s="40">
        <v>0.7</v>
      </c>
      <c r="L46" s="6">
        <f t="shared" si="0"/>
        <v>1621.9699999999998</v>
      </c>
      <c r="M46" s="6">
        <f t="shared" si="1"/>
        <v>420.20999999999981</v>
      </c>
      <c r="N46" s="43"/>
    </row>
    <row r="47" spans="1:14" s="44" customFormat="1" ht="20.100000000000001" customHeight="1">
      <c r="A47" s="4">
        <v>8</v>
      </c>
      <c r="B47" s="5" t="s">
        <v>69</v>
      </c>
      <c r="C47" s="5"/>
      <c r="D47" s="4">
        <v>6</v>
      </c>
      <c r="E47" s="37">
        <v>10.83</v>
      </c>
      <c r="F47" s="4">
        <v>0.3</v>
      </c>
      <c r="G47" s="40">
        <v>0.7</v>
      </c>
      <c r="H47" s="6">
        <f t="shared" si="3"/>
        <v>2259.39</v>
      </c>
      <c r="I47" s="4">
        <v>15.17</v>
      </c>
      <c r="J47" s="4">
        <v>0.85</v>
      </c>
      <c r="K47" s="40">
        <v>0.7</v>
      </c>
      <c r="L47" s="6">
        <f t="shared" si="0"/>
        <v>3252.06</v>
      </c>
      <c r="M47" s="6">
        <f t="shared" si="1"/>
        <v>992.67000000000007</v>
      </c>
      <c r="N47" s="43"/>
    </row>
    <row r="48" spans="1:14" s="44" customFormat="1" ht="20.100000000000001" customHeight="1">
      <c r="A48" s="4">
        <v>9</v>
      </c>
      <c r="B48" s="5" t="s">
        <v>70</v>
      </c>
      <c r="C48" s="5"/>
      <c r="D48" s="4">
        <v>1</v>
      </c>
      <c r="E48" s="37">
        <v>1.4</v>
      </c>
      <c r="F48" s="4"/>
      <c r="G48" s="40">
        <v>0.7</v>
      </c>
      <c r="H48" s="6">
        <f t="shared" si="3"/>
        <v>284.2</v>
      </c>
      <c r="I48" s="4">
        <v>1.86</v>
      </c>
      <c r="J48" s="4"/>
      <c r="K48" s="40">
        <v>0.7</v>
      </c>
      <c r="L48" s="6">
        <f t="shared" si="0"/>
        <v>377.58</v>
      </c>
      <c r="M48" s="6">
        <f t="shared" si="1"/>
        <v>93.38</v>
      </c>
      <c r="N48" s="43"/>
    </row>
    <row r="49" spans="1:14" s="44" customFormat="1" ht="20.100000000000001" customHeight="1">
      <c r="A49" s="4">
        <v>10</v>
      </c>
      <c r="B49" s="5" t="s">
        <v>71</v>
      </c>
      <c r="C49" s="5"/>
      <c r="D49" s="4">
        <v>2</v>
      </c>
      <c r="E49" s="37">
        <v>2.8</v>
      </c>
      <c r="F49" s="4"/>
      <c r="G49" s="40">
        <v>0.7</v>
      </c>
      <c r="H49" s="6">
        <f t="shared" si="3"/>
        <v>568.4</v>
      </c>
      <c r="I49" s="4">
        <v>3.3</v>
      </c>
      <c r="J49" s="4"/>
      <c r="K49" s="40">
        <v>0.7</v>
      </c>
      <c r="L49" s="6">
        <f t="shared" si="0"/>
        <v>669.9</v>
      </c>
      <c r="M49" s="6">
        <f t="shared" si="1"/>
        <v>101.5</v>
      </c>
      <c r="N49" s="43"/>
    </row>
    <row r="50" spans="1:14" s="44" customFormat="1" ht="20.100000000000001" customHeight="1">
      <c r="A50" s="4">
        <v>11</v>
      </c>
      <c r="B50" s="5" t="s">
        <v>72</v>
      </c>
      <c r="C50" s="5"/>
      <c r="D50" s="4">
        <v>4</v>
      </c>
      <c r="E50" s="37">
        <v>6.79</v>
      </c>
      <c r="F50" s="4"/>
      <c r="G50" s="40">
        <v>0.7</v>
      </c>
      <c r="H50" s="6">
        <f t="shared" si="3"/>
        <v>1378.37</v>
      </c>
      <c r="I50" s="4">
        <v>8.43</v>
      </c>
      <c r="J50" s="4"/>
      <c r="K50" s="40">
        <v>0.7</v>
      </c>
      <c r="L50" s="6">
        <f t="shared" si="0"/>
        <v>1711.2899999999997</v>
      </c>
      <c r="M50" s="6">
        <f t="shared" si="1"/>
        <v>332.91999999999985</v>
      </c>
      <c r="N50" s="43"/>
    </row>
    <row r="51" spans="1:14" s="44" customFormat="1" ht="20.100000000000001" customHeight="1">
      <c r="A51" s="4">
        <v>12</v>
      </c>
      <c r="B51" s="5" t="s">
        <v>73</v>
      </c>
      <c r="C51" s="5"/>
      <c r="D51" s="4">
        <v>2</v>
      </c>
      <c r="E51" s="37">
        <v>2.8</v>
      </c>
      <c r="F51" s="4">
        <v>0.1</v>
      </c>
      <c r="G51" s="40">
        <v>0.7</v>
      </c>
      <c r="H51" s="6">
        <f t="shared" si="3"/>
        <v>588.69999999999993</v>
      </c>
      <c r="I51" s="4">
        <v>3.72</v>
      </c>
      <c r="J51" s="4">
        <v>0.25</v>
      </c>
      <c r="K51" s="40">
        <v>0.7</v>
      </c>
      <c r="L51" s="6">
        <f t="shared" si="0"/>
        <v>805.91</v>
      </c>
      <c r="M51" s="6">
        <f t="shared" si="1"/>
        <v>217.21000000000004</v>
      </c>
      <c r="N51" s="43"/>
    </row>
    <row r="52" spans="1:14" s="44" customFormat="1" ht="20.100000000000001" customHeight="1">
      <c r="A52" s="4">
        <v>13</v>
      </c>
      <c r="B52" s="5" t="s">
        <v>74</v>
      </c>
      <c r="C52" s="5"/>
      <c r="D52" s="4">
        <v>4</v>
      </c>
      <c r="E52" s="37">
        <v>5.96</v>
      </c>
      <c r="F52" s="4">
        <v>0.2</v>
      </c>
      <c r="G52" s="40">
        <v>0.7</v>
      </c>
      <c r="H52" s="6">
        <f t="shared" si="3"/>
        <v>1250.48</v>
      </c>
      <c r="I52" s="4">
        <v>7.64</v>
      </c>
      <c r="J52" s="4">
        <v>0.25</v>
      </c>
      <c r="K52" s="40">
        <v>0.7</v>
      </c>
      <c r="L52" s="6">
        <f t="shared" si="0"/>
        <v>1601.6699999999998</v>
      </c>
      <c r="M52" s="6">
        <f t="shared" si="1"/>
        <v>351.18999999999983</v>
      </c>
      <c r="N52" s="43"/>
    </row>
    <row r="53" spans="1:14" s="44" customFormat="1" ht="20.100000000000001" customHeight="1">
      <c r="A53" s="4">
        <v>14</v>
      </c>
      <c r="B53" s="5" t="s">
        <v>75</v>
      </c>
      <c r="C53" s="5"/>
      <c r="D53" s="4">
        <v>4</v>
      </c>
      <c r="E53" s="37">
        <v>5.6</v>
      </c>
      <c r="F53" s="4">
        <v>0.2</v>
      </c>
      <c r="G53" s="40">
        <v>0.7</v>
      </c>
      <c r="H53" s="6">
        <f t="shared" si="3"/>
        <v>1177.3999999999999</v>
      </c>
      <c r="I53" s="4">
        <v>7.23</v>
      </c>
      <c r="J53" s="4">
        <v>0.2</v>
      </c>
      <c r="K53" s="40">
        <v>0.7</v>
      </c>
      <c r="L53" s="6">
        <f t="shared" si="0"/>
        <v>1508.2900000000002</v>
      </c>
      <c r="M53" s="6">
        <f t="shared" si="1"/>
        <v>330.89000000000033</v>
      </c>
      <c r="N53" s="43"/>
    </row>
    <row r="54" spans="1:14" s="44" customFormat="1" ht="20.100000000000001" customHeight="1">
      <c r="A54" s="4"/>
      <c r="B54" s="5"/>
      <c r="C54" s="5"/>
      <c r="D54" s="4"/>
      <c r="E54" s="37"/>
      <c r="F54" s="4"/>
      <c r="G54" s="40"/>
      <c r="H54" s="6"/>
      <c r="I54" s="4"/>
      <c r="J54" s="4"/>
      <c r="K54" s="40"/>
      <c r="L54" s="6"/>
      <c r="M54" s="6"/>
      <c r="N54" s="43"/>
    </row>
    <row r="55" spans="1:14" s="33" customFormat="1" ht="20.100000000000001" customHeight="1">
      <c r="A55" s="11"/>
      <c r="B55" s="11" t="s">
        <v>2</v>
      </c>
      <c r="C55" s="11"/>
      <c r="D55" s="11">
        <f>D39+D22+D8</f>
        <v>339</v>
      </c>
      <c r="E55" s="11">
        <f t="shared" ref="E55:M55" si="5">E39+E22+E8</f>
        <v>719.56999999999994</v>
      </c>
      <c r="F55" s="11">
        <f t="shared" si="5"/>
        <v>11.2</v>
      </c>
      <c r="G55" s="11"/>
      <c r="H55" s="46">
        <f t="shared" si="5"/>
        <v>148346.31</v>
      </c>
      <c r="I55" s="11">
        <f t="shared" si="5"/>
        <v>1188.31</v>
      </c>
      <c r="J55" s="11">
        <f t="shared" si="5"/>
        <v>25.87</v>
      </c>
      <c r="K55" s="11"/>
      <c r="L55" s="46">
        <f t="shared" si="5"/>
        <v>246478.53999999998</v>
      </c>
      <c r="M55" s="46">
        <f t="shared" si="5"/>
        <v>98132.23000000001</v>
      </c>
      <c r="N55" s="32"/>
    </row>
    <row r="56" spans="1:14" ht="19.5" customHeight="1">
      <c r="A56" s="14"/>
      <c r="B56" s="17"/>
      <c r="C56" s="17"/>
      <c r="D56" s="17"/>
      <c r="E56" s="16"/>
      <c r="F56" s="14"/>
    </row>
    <row r="57" spans="1:14" ht="15.6">
      <c r="H57" s="369" t="s">
        <v>76</v>
      </c>
      <c r="I57" s="369"/>
      <c r="J57" s="369"/>
      <c r="K57" s="369"/>
      <c r="L57" s="369"/>
      <c r="M57" s="369"/>
      <c r="N57" s="369"/>
    </row>
    <row r="58" spans="1:14" ht="19.5" customHeight="1">
      <c r="A58" s="370" t="s">
        <v>77</v>
      </c>
      <c r="B58" s="370"/>
      <c r="C58" s="370"/>
      <c r="D58" s="370"/>
      <c r="H58" s="371" t="s">
        <v>78</v>
      </c>
      <c r="I58" s="371"/>
      <c r="J58" s="371"/>
      <c r="K58" s="371"/>
      <c r="L58" s="371"/>
      <c r="M58" s="371"/>
      <c r="N58" s="371"/>
    </row>
  </sheetData>
  <mergeCells count="14">
    <mergeCell ref="L4:M4"/>
    <mergeCell ref="A1:B1"/>
    <mergeCell ref="A2:B2"/>
    <mergeCell ref="E2:M2"/>
    <mergeCell ref="A3:B3"/>
    <mergeCell ref="E3:M3"/>
    <mergeCell ref="E5:H5"/>
    <mergeCell ref="I5:L5"/>
    <mergeCell ref="F6:H6"/>
    <mergeCell ref="H57:N57"/>
    <mergeCell ref="A58:D58"/>
    <mergeCell ref="H58:N58"/>
    <mergeCell ref="C5:C7"/>
    <mergeCell ref="D5:D7"/>
  </mergeCells>
  <pageMargins left="0.35416666666666669" right="0.31458333333333333" top="0.19652777777777777" bottom="0.39305555555555555" header="0.51111111111111107" footer="0.51111111111111107"/>
  <pageSetup paperSize="9" firstPageNumber="4294963191"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C18" sqref="C18"/>
    </sheetView>
  </sheetViews>
  <sheetFormatPr defaultColWidth="9" defaultRowHeight="13.8"/>
  <cols>
    <col min="1" max="1" width="6.6640625" style="49" customWidth="1"/>
    <col min="2" max="2" width="56.44140625" style="49" customWidth="1"/>
    <col min="3" max="3" width="18" style="49" customWidth="1"/>
    <col min="4" max="16384" width="9" style="49"/>
  </cols>
  <sheetData>
    <row r="1" spans="1:6" customFormat="1">
      <c r="C1" s="94" t="s">
        <v>219</v>
      </c>
    </row>
    <row r="2" spans="1:6" ht="17.399999999999999">
      <c r="A2" s="348" t="s">
        <v>372</v>
      </c>
      <c r="B2" s="348"/>
      <c r="C2" s="348"/>
    </row>
    <row r="3" spans="1:6" ht="17.25" customHeight="1">
      <c r="A3" s="319" t="s">
        <v>384</v>
      </c>
      <c r="B3" s="319"/>
      <c r="C3" s="319"/>
      <c r="D3" s="56"/>
      <c r="E3" s="56"/>
      <c r="F3" s="56"/>
    </row>
    <row r="4" spans="1:6" ht="21" customHeight="1">
      <c r="C4" s="57" t="s">
        <v>97</v>
      </c>
    </row>
    <row r="5" spans="1:6" ht="21" customHeight="1">
      <c r="A5" s="97" t="s">
        <v>0</v>
      </c>
      <c r="B5" s="97" t="s">
        <v>80</v>
      </c>
      <c r="C5" s="97" t="s">
        <v>127</v>
      </c>
    </row>
    <row r="6" spans="1:6" s="53" customFormat="1" ht="25.2" customHeight="1">
      <c r="A6" s="63">
        <v>1</v>
      </c>
      <c r="B6" s="65" t="s">
        <v>180</v>
      </c>
      <c r="C6" s="98">
        <v>1920000</v>
      </c>
    </row>
    <row r="7" spans="1:6" ht="25.2" customHeight="1">
      <c r="A7" s="64"/>
      <c r="B7" s="99" t="s">
        <v>215</v>
      </c>
      <c r="C7" s="100">
        <v>880000</v>
      </c>
    </row>
    <row r="8" spans="1:6" s="53" customFormat="1" ht="25.2" customHeight="1">
      <c r="A8" s="63">
        <v>2</v>
      </c>
      <c r="B8" s="65" t="s">
        <v>181</v>
      </c>
      <c r="C8" s="98">
        <v>588000</v>
      </c>
    </row>
    <row r="9" spans="1:6" s="53" customFormat="1" ht="25.2" customHeight="1">
      <c r="A9" s="65"/>
      <c r="B9" s="63" t="s">
        <v>84</v>
      </c>
      <c r="C9" s="98">
        <f>C6+C8</f>
        <v>2508000</v>
      </c>
    </row>
  </sheetData>
  <mergeCells count="2">
    <mergeCell ref="A2:C2"/>
    <mergeCell ref="A3:C3"/>
  </mergeCells>
  <pageMargins left="0.81" right="0.25" top="0.35" bottom="0.59027777777777801" header="0.51111111111111096" footer="0.51111111111111096"/>
  <pageSetup paperSize="9" firstPageNumber="42949631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16" zoomScaleNormal="100" workbookViewId="0">
      <selection activeCell="E23" sqref="E23"/>
    </sheetView>
  </sheetViews>
  <sheetFormatPr defaultRowHeight="13.8"/>
  <cols>
    <col min="1" max="1" width="5.33203125" customWidth="1"/>
    <col min="2" max="2" width="38.88671875" customWidth="1"/>
    <col min="3" max="3" width="14.109375" customWidth="1"/>
    <col min="4" max="4" width="10.88671875" customWidth="1"/>
    <col min="5" max="5" width="12.6640625" customWidth="1"/>
    <col min="6" max="6" width="26.77734375" customWidth="1"/>
    <col min="7" max="7" width="13.44140625" customWidth="1"/>
  </cols>
  <sheetData>
    <row r="1" spans="1:8">
      <c r="A1" s="47"/>
      <c r="B1" s="47"/>
      <c r="C1" s="47"/>
      <c r="D1" s="47"/>
      <c r="E1" s="47"/>
      <c r="F1" s="288" t="s">
        <v>386</v>
      </c>
    </row>
    <row r="2" spans="1:8" ht="16.8">
      <c r="A2" s="318" t="s">
        <v>339</v>
      </c>
      <c r="B2" s="318"/>
      <c r="C2" s="318"/>
      <c r="D2" s="318"/>
      <c r="E2" s="318"/>
      <c r="F2" s="318"/>
    </row>
    <row r="3" spans="1:8" ht="15.6">
      <c r="A3" s="319" t="s">
        <v>380</v>
      </c>
      <c r="B3" s="319"/>
      <c r="C3" s="319"/>
      <c r="D3" s="319"/>
      <c r="E3" s="319"/>
      <c r="F3" s="319"/>
      <c r="G3" s="56"/>
      <c r="H3" s="56"/>
    </row>
    <row r="4" spans="1:8" ht="14.4">
      <c r="A4" s="47"/>
      <c r="B4" s="47"/>
      <c r="C4" s="47"/>
      <c r="D4" s="47"/>
      <c r="E4" s="47"/>
      <c r="F4" s="184" t="s">
        <v>306</v>
      </c>
    </row>
    <row r="5" spans="1:8" ht="15.6" customHeight="1">
      <c r="A5" s="321" t="s">
        <v>0</v>
      </c>
      <c r="B5" s="321" t="s">
        <v>80</v>
      </c>
      <c r="C5" s="381" t="s">
        <v>309</v>
      </c>
      <c r="D5" s="384" t="s">
        <v>94</v>
      </c>
      <c r="E5" s="385"/>
      <c r="F5" s="322" t="s">
        <v>9</v>
      </c>
    </row>
    <row r="6" spans="1:8" ht="15.6" customHeight="1">
      <c r="A6" s="321"/>
      <c r="B6" s="321"/>
      <c r="C6" s="382"/>
      <c r="D6" s="386" t="s">
        <v>343</v>
      </c>
      <c r="E6" s="386" t="s">
        <v>83</v>
      </c>
      <c r="F6" s="321"/>
    </row>
    <row r="7" spans="1:8" ht="15.6" customHeight="1">
      <c r="A7" s="321"/>
      <c r="B7" s="321"/>
      <c r="C7" s="383"/>
      <c r="D7" s="383"/>
      <c r="E7" s="387"/>
      <c r="F7" s="321"/>
    </row>
    <row r="8" spans="1:8" ht="31.2" customHeight="1">
      <c r="A8" s="185">
        <v>1</v>
      </c>
      <c r="B8" s="186" t="s">
        <v>310</v>
      </c>
      <c r="C8" s="199">
        <f>D8+E8</f>
        <v>200000</v>
      </c>
      <c r="D8" s="186"/>
      <c r="E8" s="187">
        <v>200000</v>
      </c>
      <c r="F8" s="70" t="s">
        <v>307</v>
      </c>
    </row>
    <row r="9" spans="1:8" ht="48.6" customHeight="1">
      <c r="A9" s="185">
        <v>2</v>
      </c>
      <c r="B9" s="289" t="s">
        <v>315</v>
      </c>
      <c r="C9" s="187">
        <v>100000</v>
      </c>
      <c r="D9" s="290"/>
      <c r="E9" s="187">
        <v>100000</v>
      </c>
      <c r="F9" s="290" t="s">
        <v>314</v>
      </c>
    </row>
    <row r="10" spans="1:8" ht="38.4" customHeight="1">
      <c r="A10" s="185">
        <v>3</v>
      </c>
      <c r="B10" s="289" t="s">
        <v>385</v>
      </c>
      <c r="C10" s="187">
        <v>100000</v>
      </c>
      <c r="D10" s="290"/>
      <c r="E10" s="187">
        <v>100000</v>
      </c>
      <c r="F10" s="290" t="s">
        <v>308</v>
      </c>
    </row>
    <row r="11" spans="1:8" ht="62.4" customHeight="1">
      <c r="A11" s="185">
        <v>4</v>
      </c>
      <c r="B11" s="186" t="s">
        <v>311</v>
      </c>
      <c r="C11" s="199">
        <f t="shared" ref="C11:C19" si="0">D11+E11</f>
        <v>1000000</v>
      </c>
      <c r="D11" s="186"/>
      <c r="E11" s="187">
        <v>1000000</v>
      </c>
      <c r="F11" s="70" t="s">
        <v>320</v>
      </c>
    </row>
    <row r="12" spans="1:8" ht="64.8" customHeight="1">
      <c r="A12" s="185">
        <v>5</v>
      </c>
      <c r="B12" s="186" t="s">
        <v>379</v>
      </c>
      <c r="C12" s="199">
        <f t="shared" si="0"/>
        <v>22869000</v>
      </c>
      <c r="D12" s="186"/>
      <c r="E12" s="187">
        <f>34646000-E13-E14</f>
        <v>22869000</v>
      </c>
      <c r="F12" s="70" t="s">
        <v>308</v>
      </c>
    </row>
    <row r="13" spans="1:8" ht="37.799999999999997" customHeight="1">
      <c r="A13" s="185">
        <v>6</v>
      </c>
      <c r="B13" s="186" t="s">
        <v>378</v>
      </c>
      <c r="C13" s="199">
        <f t="shared" si="0"/>
        <v>11665000</v>
      </c>
      <c r="D13" s="186"/>
      <c r="E13" s="187">
        <v>11665000</v>
      </c>
      <c r="F13" s="70" t="s">
        <v>376</v>
      </c>
    </row>
    <row r="14" spans="1:8" ht="33" customHeight="1">
      <c r="A14" s="185">
        <v>7</v>
      </c>
      <c r="B14" s="186" t="s">
        <v>377</v>
      </c>
      <c r="C14" s="199">
        <f t="shared" si="0"/>
        <v>112000</v>
      </c>
      <c r="D14" s="186"/>
      <c r="E14" s="187">
        <v>112000</v>
      </c>
      <c r="F14" s="70" t="s">
        <v>376</v>
      </c>
      <c r="G14" s="197"/>
    </row>
    <row r="15" spans="1:8" ht="34.799999999999997" customHeight="1">
      <c r="A15" s="185">
        <v>8</v>
      </c>
      <c r="B15" s="186" t="s">
        <v>312</v>
      </c>
      <c r="C15" s="199">
        <f t="shared" si="0"/>
        <v>693000</v>
      </c>
      <c r="D15" s="186"/>
      <c r="E15" s="187">
        <v>693000</v>
      </c>
      <c r="F15" s="70" t="s">
        <v>313</v>
      </c>
      <c r="G15" s="197"/>
    </row>
    <row r="16" spans="1:8" ht="33" customHeight="1">
      <c r="A16" s="185">
        <v>9</v>
      </c>
      <c r="B16" s="186" t="s">
        <v>335</v>
      </c>
      <c r="C16" s="199">
        <f t="shared" si="0"/>
        <v>564273</v>
      </c>
      <c r="D16" s="187">
        <v>534033</v>
      </c>
      <c r="E16" s="187">
        <f>15120*2</f>
        <v>30240</v>
      </c>
      <c r="F16" s="186" t="s">
        <v>342</v>
      </c>
    </row>
    <row r="17" spans="1:6" ht="31.2">
      <c r="A17" s="185">
        <v>10</v>
      </c>
      <c r="B17" s="186" t="s">
        <v>335</v>
      </c>
      <c r="C17" s="199">
        <f t="shared" si="0"/>
        <v>480203</v>
      </c>
      <c r="D17" s="187">
        <v>419723</v>
      </c>
      <c r="E17" s="187">
        <f>15120*4</f>
        <v>60480</v>
      </c>
      <c r="F17" s="196" t="s">
        <v>336</v>
      </c>
    </row>
    <row r="18" spans="1:6" ht="35.4" customHeight="1">
      <c r="A18" s="185">
        <v>11</v>
      </c>
      <c r="B18" s="186" t="s">
        <v>335</v>
      </c>
      <c r="C18" s="199">
        <f t="shared" si="0"/>
        <v>193612</v>
      </c>
      <c r="D18" s="188">
        <v>178492</v>
      </c>
      <c r="E18" s="188">
        <v>15120</v>
      </c>
      <c r="F18" s="196" t="s">
        <v>337</v>
      </c>
    </row>
    <row r="19" spans="1:6" ht="31.2">
      <c r="A19" s="185">
        <v>12</v>
      </c>
      <c r="B19" s="186" t="s">
        <v>335</v>
      </c>
      <c r="C19" s="199">
        <f t="shared" si="0"/>
        <v>1070912</v>
      </c>
      <c r="D19" s="188">
        <v>935288</v>
      </c>
      <c r="E19" s="188">
        <v>135624</v>
      </c>
      <c r="F19" s="196" t="s">
        <v>338</v>
      </c>
    </row>
    <row r="20" spans="1:6" ht="31.2">
      <c r="A20" s="185">
        <v>13</v>
      </c>
      <c r="B20" s="186" t="s">
        <v>387</v>
      </c>
      <c r="C20" s="199">
        <f>E20</f>
        <v>499362</v>
      </c>
      <c r="D20" s="188"/>
      <c r="E20" s="188">
        <v>499362</v>
      </c>
      <c r="F20" s="196"/>
    </row>
    <row r="21" spans="1:6" ht="31.2">
      <c r="A21" s="185">
        <v>14</v>
      </c>
      <c r="B21" s="186" t="s">
        <v>388</v>
      </c>
      <c r="C21" s="199">
        <f>E21</f>
        <v>1383474</v>
      </c>
      <c r="D21" s="188"/>
      <c r="E21" s="188">
        <v>1383474</v>
      </c>
      <c r="F21" s="196"/>
    </row>
    <row r="22" spans="1:6" ht="62.4">
      <c r="A22" s="185">
        <v>15</v>
      </c>
      <c r="B22" s="186" t="s">
        <v>389</v>
      </c>
      <c r="C22" s="199">
        <f>5000000-C20-C21-C23</f>
        <v>2117164</v>
      </c>
      <c r="D22" s="188"/>
      <c r="E22" s="199">
        <v>2117164</v>
      </c>
      <c r="F22" s="196"/>
    </row>
    <row r="23" spans="1:6" ht="31.2">
      <c r="A23" s="185">
        <v>16</v>
      </c>
      <c r="B23" s="186" t="s">
        <v>390</v>
      </c>
      <c r="C23" s="199">
        <v>1000000</v>
      </c>
      <c r="D23" s="188"/>
      <c r="E23" s="199">
        <v>1000000</v>
      </c>
      <c r="F23" s="196"/>
    </row>
    <row r="24" spans="1:6" ht="15.6">
      <c r="A24" s="189"/>
      <c r="B24" s="190" t="s">
        <v>309</v>
      </c>
      <c r="C24" s="198">
        <f>SUM(C8:C23)</f>
        <v>44048000</v>
      </c>
      <c r="D24" s="198">
        <f t="shared" ref="D24:E24" si="1">SUM(D8:D23)</f>
        <v>2067536</v>
      </c>
      <c r="E24" s="198">
        <f t="shared" si="1"/>
        <v>41980464</v>
      </c>
      <c r="F24" s="189"/>
    </row>
    <row r="25" spans="1:6">
      <c r="D25" s="49"/>
    </row>
    <row r="26" spans="1:6">
      <c r="C26" s="197"/>
      <c r="D26" s="197"/>
      <c r="E26" s="197"/>
    </row>
    <row r="27" spans="1:6">
      <c r="C27" s="197"/>
    </row>
    <row r="28" spans="1:6">
      <c r="C28" s="197"/>
      <c r="D28" s="197"/>
    </row>
  </sheetData>
  <mergeCells count="9">
    <mergeCell ref="A2:F2"/>
    <mergeCell ref="A3:F3"/>
    <mergeCell ref="A5:A7"/>
    <mergeCell ref="B5:B7"/>
    <mergeCell ref="F5:F7"/>
    <mergeCell ref="C5:C7"/>
    <mergeCell ref="D5:E5"/>
    <mergeCell ref="D6:D7"/>
    <mergeCell ref="E6:E7"/>
  </mergeCells>
  <pageMargins left="0.35433070866141736" right="0.23622047244094491" top="0.39370078740157483" bottom="0.74803149606299213" header="0.31496062992125984" footer="0.31496062992125984"/>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THU HUYEN </vt:lpstr>
      <vt:lpstr>CHI HUYEN</vt:lpstr>
      <vt:lpstr>Pb HC</vt:lpstr>
      <vt:lpstr>SNKT</vt:lpstr>
      <vt:lpstr>SNMT</vt:lpstr>
      <vt:lpstr>Van xa</vt:lpstr>
      <vt:lpstr>Tluong truong</vt:lpstr>
      <vt:lpstr>QP</vt:lpstr>
      <vt:lpstr>CTMT</vt:lpstr>
      <vt:lpstr>Chi khác</vt:lpstr>
      <vt:lpstr>Sheet1</vt:lpstr>
      <vt:lpstr>'CHI HUYEN'!Print_Area</vt:lpstr>
      <vt:lpstr>'Chi khác'!Print_Area</vt:lpstr>
      <vt:lpstr>'Pb HC'!Print_Area</vt:lpstr>
      <vt:lpstr>QP!Print_Area</vt:lpstr>
      <vt:lpstr>SNKT!Print_Area</vt:lpstr>
      <vt:lpstr>SNMT!Print_Area</vt:lpstr>
      <vt:lpstr>'THU HUYEN '!Print_Area</vt:lpstr>
      <vt:lpstr>'Pb HC'!Print_Titles</vt:lpstr>
      <vt:lpstr>'Van xa'!Print_Titles</vt:lpstr>
    </vt:vector>
  </TitlesOfParts>
  <Company>So Tai chinh Quang tri</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dunglt</dc:creator>
  <cp:lastModifiedBy>ASUS</cp:lastModifiedBy>
  <cp:revision/>
  <cp:lastPrinted>2024-12-09T10:12:43Z</cp:lastPrinted>
  <dcterms:created xsi:type="dcterms:W3CDTF">2000-01-01T11:27:37Z</dcterms:created>
  <dcterms:modified xsi:type="dcterms:W3CDTF">2024-12-09T10:14:57Z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1033-8.1.0.3010</vt:lpwstr>
  </property>
</Properties>
</file>