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E:\HOAI\9 XDCB\NAM 2023\BC XDCB NĂM 2023\NAM 2023\"/>
    </mc:Choice>
  </mc:AlternateContent>
  <xr:revisionPtr revIDLastSave="0" documentId="13_ncr:1_{AE3CAA37-12FC-4044-A4DF-C44320017AB7}" xr6:coauthVersionLast="47" xr6:coauthVersionMax="47" xr10:uidLastSave="{00000000-0000-0000-0000-000000000000}"/>
  <bookViews>
    <workbookView xWindow="-108" yWindow="-108" windowWidth="23256" windowHeight="12576" xr2:uid="{00000000-000D-0000-FFFF-FFFF00000000}"/>
  </bookViews>
  <sheets>
    <sheet name="TOM TAT" sheetId="10" r:id="rId1"/>
    <sheet name="KH 2023" sheetId="5" r:id="rId2"/>
    <sheet name="CT MTQG 2023" sheetId="18" r:id="rId3"/>
    <sheet name="VON 22 KEO DAI 23" sheetId="21" r:id="rId4"/>
    <sheet name="LUT BAO" sheetId="22" r:id="rId5"/>
    <sheet name="XEP THEO CĐT 2022" sheetId="24" state="hidden" r:id="rId6"/>
    <sheet name="XEP THEO CĐT 2023" sheetId="25" state="hidden" r:id="rId7"/>
    <sheet name="THONG KE GIAI NGAN CHAM" sheetId="27" state="hidden" r:id="rId8"/>
    <sheet name="TIEN DO CBDT" sheetId="26" state="hidden" r:id="rId9"/>
    <sheet name="dau dat" sheetId="19" state="hidden" r:id="rId10"/>
    <sheet name="KHV NAM 2024" sheetId="28" r:id="rId11"/>
    <sheet name="TOM TAT (2)" sheetId="29" r:id="rId12"/>
  </sheets>
  <externalReferences>
    <externalReference r:id="rId13"/>
  </externalReferences>
  <definedNames>
    <definedName name="_xlnm._FilterDatabase" localSheetId="2" hidden="1">'CT MTQG 2023'!$A$8:$N$249</definedName>
    <definedName name="_xlnm._FilterDatabase" localSheetId="9" hidden="1">'dau dat'!$A$7:$M$7</definedName>
    <definedName name="_xlnm._FilterDatabase" localSheetId="1" hidden="1">'KH 2023'!$A$7:$V$78</definedName>
    <definedName name="_xlnm._FilterDatabase" localSheetId="10" hidden="1">'KHV NAM 2024'!$A$7:$I$19</definedName>
    <definedName name="_xlnm._FilterDatabase" localSheetId="0" hidden="1">'TOM TAT'!$A$7:$K$7</definedName>
    <definedName name="_xlnm._FilterDatabase" localSheetId="11" hidden="1">'TOM TAT (2)'!$A$7:$K$7</definedName>
    <definedName name="_xlnm._FilterDatabase" localSheetId="3" hidden="1">'VON 22 KEO DAI 23'!$A$8:$U$221</definedName>
    <definedName name="_xlnm._FilterDatabase" localSheetId="5" hidden="1">'XEP THEO CĐT 2022'!$A$5:$H$5</definedName>
    <definedName name="_xlnm._FilterDatabase" localSheetId="6" hidden="1">'XEP THEO CĐT 2023'!$A$5:$I$5</definedName>
    <definedName name="_xlnm.Print_Area" localSheetId="2">'CT MTQG 2023'!$A$1:$N$249</definedName>
    <definedName name="_xlnm.Print_Area" localSheetId="9">'dau dat'!$A$1:$M$108</definedName>
    <definedName name="_xlnm.Print_Area" localSheetId="1">'KH 2023'!$A$1:$M$77</definedName>
    <definedName name="_xlnm.Print_Area" localSheetId="10">'KHV NAM 2024'!$A$1:$I$22</definedName>
    <definedName name="_xlnm.Print_Area" localSheetId="4">'LUT BAO'!$A$1:$O$15</definedName>
    <definedName name="_xlnm.Print_Area" localSheetId="0">'TOM TAT'!$A$1:$K$42</definedName>
    <definedName name="_xlnm.Print_Area" localSheetId="11">'TOM TAT (2)'!$A$1:$K$42</definedName>
    <definedName name="_xlnm.Print_Area" localSheetId="3">'VON 22 KEO DAI 23'!$A$1:$R$221</definedName>
    <definedName name="_xlnm.Print_Titles" localSheetId="2">'CT MTQG 2023'!$5:$7</definedName>
    <definedName name="_xlnm.Print_Titles" localSheetId="9">'dau dat'!$5:$7</definedName>
    <definedName name="_xlnm.Print_Titles" localSheetId="1">'KH 2023'!$5:$7</definedName>
    <definedName name="_xlnm.Print_Titles" localSheetId="10">'KHV NAM 2024'!$5:$5</definedName>
    <definedName name="_xlnm.Print_Titles" localSheetId="0">'TOM TAT'!$5:$7</definedName>
    <definedName name="_xlnm.Print_Titles" localSheetId="11">'TOM TAT (2)'!$5:$7</definedName>
    <definedName name="_xlnm.Print_Titles" localSheetId="3">'VON 22 KEO DAI 23'!$5:$7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7" i="29" l="1"/>
  <c r="J36" i="29"/>
  <c r="J35" i="29" s="1"/>
  <c r="I36" i="29"/>
  <c r="I35" i="29" s="1"/>
  <c r="I8" i="29" s="1"/>
  <c r="H36" i="29"/>
  <c r="H35" i="29" s="1"/>
  <c r="G36" i="29"/>
  <c r="F36" i="29"/>
  <c r="F35" i="29" s="1"/>
  <c r="E36" i="29"/>
  <c r="E35" i="29" s="1"/>
  <c r="E8" i="29" s="1"/>
  <c r="C36" i="29"/>
  <c r="G35" i="29"/>
  <c r="D35" i="29"/>
  <c r="C35" i="29"/>
  <c r="J34" i="29"/>
  <c r="I34" i="29"/>
  <c r="H34" i="29"/>
  <c r="G34" i="29"/>
  <c r="F34" i="29"/>
  <c r="E34" i="29"/>
  <c r="D34" i="29"/>
  <c r="C34" i="29"/>
  <c r="J33" i="29"/>
  <c r="I33" i="29"/>
  <c r="H33" i="29"/>
  <c r="G33" i="29"/>
  <c r="F33" i="29"/>
  <c r="E33" i="29"/>
  <c r="D33" i="29"/>
  <c r="C33" i="29"/>
  <c r="J32" i="29"/>
  <c r="I32" i="29"/>
  <c r="H32" i="29"/>
  <c r="G32" i="29"/>
  <c r="F32" i="29"/>
  <c r="E32" i="29"/>
  <c r="C32" i="29"/>
  <c r="J31" i="29"/>
  <c r="I31" i="29"/>
  <c r="H31" i="29"/>
  <c r="G31" i="29"/>
  <c r="F31" i="29"/>
  <c r="E31" i="29"/>
  <c r="C31" i="29"/>
  <c r="J30" i="29"/>
  <c r="I30" i="29"/>
  <c r="H30" i="29"/>
  <c r="G30" i="29"/>
  <c r="F30" i="29"/>
  <c r="E30" i="29"/>
  <c r="C30" i="29"/>
  <c r="J29" i="29"/>
  <c r="I29" i="29"/>
  <c r="H29" i="29"/>
  <c r="G29" i="29"/>
  <c r="F29" i="29"/>
  <c r="E29" i="29"/>
  <c r="D29" i="29"/>
  <c r="D28" i="29" s="1"/>
  <c r="D8" i="29" s="1"/>
  <c r="C29" i="29"/>
  <c r="V28" i="29"/>
  <c r="J28" i="29"/>
  <c r="I28" i="29"/>
  <c r="H28" i="29"/>
  <c r="G28" i="29"/>
  <c r="F28" i="29"/>
  <c r="E28" i="29"/>
  <c r="C28" i="29"/>
  <c r="J27" i="29"/>
  <c r="I27" i="29"/>
  <c r="H27" i="29"/>
  <c r="G27" i="29"/>
  <c r="F27" i="29"/>
  <c r="E27" i="29"/>
  <c r="D27" i="29"/>
  <c r="J26" i="29"/>
  <c r="I26" i="29"/>
  <c r="H26" i="29"/>
  <c r="G26" i="29"/>
  <c r="F26" i="29"/>
  <c r="E26" i="29"/>
  <c r="D26" i="29"/>
  <c r="C26" i="29"/>
  <c r="J25" i="29"/>
  <c r="I25" i="29"/>
  <c r="H25" i="29"/>
  <c r="G25" i="29"/>
  <c r="F25" i="29"/>
  <c r="E25" i="29"/>
  <c r="D25" i="29"/>
  <c r="C25" i="29"/>
  <c r="R24" i="29"/>
  <c r="J24" i="29"/>
  <c r="I24" i="29"/>
  <c r="H24" i="29"/>
  <c r="G24" i="29"/>
  <c r="F24" i="29"/>
  <c r="E24" i="29"/>
  <c r="D24" i="29"/>
  <c r="R23" i="29"/>
  <c r="J23" i="29"/>
  <c r="I23" i="29"/>
  <c r="H23" i="29"/>
  <c r="G23" i="29"/>
  <c r="F23" i="29"/>
  <c r="E23" i="29"/>
  <c r="D23" i="29"/>
  <c r="C23" i="29"/>
  <c r="J22" i="29"/>
  <c r="I22" i="29"/>
  <c r="H22" i="29"/>
  <c r="G22" i="29"/>
  <c r="X22" i="29" s="1"/>
  <c r="F22" i="29"/>
  <c r="E22" i="29"/>
  <c r="D22" i="29"/>
  <c r="C22" i="29"/>
  <c r="H21" i="29"/>
  <c r="G21" i="29"/>
  <c r="F21" i="29"/>
  <c r="E21" i="29"/>
  <c r="D21" i="29"/>
  <c r="C21" i="29"/>
  <c r="H20" i="29"/>
  <c r="G20" i="29"/>
  <c r="F20" i="29"/>
  <c r="E20" i="29"/>
  <c r="D20" i="29"/>
  <c r="C20" i="29"/>
  <c r="J19" i="29"/>
  <c r="I19" i="29"/>
  <c r="H19" i="29"/>
  <c r="G19" i="29"/>
  <c r="F19" i="29"/>
  <c r="E19" i="29"/>
  <c r="D19" i="29"/>
  <c r="C19" i="29"/>
  <c r="H18" i="29"/>
  <c r="G18" i="29"/>
  <c r="F18" i="29"/>
  <c r="E18" i="29"/>
  <c r="D18" i="29"/>
  <c r="C18" i="29"/>
  <c r="H17" i="29"/>
  <c r="G17" i="29"/>
  <c r="F17" i="29"/>
  <c r="E17" i="29"/>
  <c r="D17" i="29"/>
  <c r="C17" i="29"/>
  <c r="J16" i="29"/>
  <c r="I16" i="29"/>
  <c r="H16" i="29"/>
  <c r="G16" i="29"/>
  <c r="F16" i="29"/>
  <c r="E16" i="29"/>
  <c r="D16" i="29"/>
  <c r="C16" i="29"/>
  <c r="H15" i="29"/>
  <c r="G15" i="29"/>
  <c r="F15" i="29"/>
  <c r="E15" i="29"/>
  <c r="D15" i="29"/>
  <c r="C15" i="29"/>
  <c r="H14" i="29"/>
  <c r="G14" i="29"/>
  <c r="F14" i="29"/>
  <c r="E14" i="29"/>
  <c r="D14" i="29"/>
  <c r="C14" i="29"/>
  <c r="H13" i="29"/>
  <c r="G13" i="29"/>
  <c r="F13" i="29"/>
  <c r="E13" i="29"/>
  <c r="D13" i="29"/>
  <c r="C13" i="29"/>
  <c r="H12" i="29"/>
  <c r="G12" i="29"/>
  <c r="F12" i="29"/>
  <c r="E12" i="29"/>
  <c r="D12" i="29"/>
  <c r="C12" i="29"/>
  <c r="J11" i="29"/>
  <c r="I11" i="29"/>
  <c r="H11" i="29"/>
  <c r="G11" i="29"/>
  <c r="F11" i="29"/>
  <c r="E11" i="29"/>
  <c r="D11" i="29"/>
  <c r="C11" i="29"/>
  <c r="J10" i="29"/>
  <c r="I10" i="29"/>
  <c r="H10" i="29"/>
  <c r="G10" i="29"/>
  <c r="X10" i="29" s="1"/>
  <c r="F10" i="29"/>
  <c r="E10" i="29"/>
  <c r="D10" i="29"/>
  <c r="C10" i="29"/>
  <c r="J9" i="29"/>
  <c r="I9" i="29"/>
  <c r="H9" i="29"/>
  <c r="G9" i="29"/>
  <c r="X9" i="29" s="1"/>
  <c r="F9" i="29"/>
  <c r="F8" i="29" s="1"/>
  <c r="E9" i="29"/>
  <c r="D9" i="29"/>
  <c r="C9" i="29"/>
  <c r="T8" i="29"/>
  <c r="AC44" i="5"/>
  <c r="J8" i="29" l="1"/>
  <c r="M10" i="29"/>
  <c r="M9" i="29"/>
  <c r="T9" i="29"/>
  <c r="M22" i="29"/>
  <c r="G8" i="29"/>
  <c r="M9" i="10"/>
  <c r="G19" i="28"/>
  <c r="P8" i="29" l="1"/>
  <c r="H8" i="29"/>
  <c r="M7" i="29"/>
  <c r="F18" i="28"/>
  <c r="G18" i="28"/>
  <c r="H18" i="28"/>
  <c r="E18" i="28"/>
  <c r="L78" i="5" l="1"/>
  <c r="J77" i="5"/>
  <c r="J78" i="5"/>
  <c r="L73" i="5"/>
  <c r="P108" i="21"/>
  <c r="P122" i="21"/>
  <c r="P123" i="21"/>
  <c r="P124" i="21"/>
  <c r="P125" i="21"/>
  <c r="P126" i="21"/>
  <c r="P127" i="21"/>
  <c r="P128" i="21"/>
  <c r="P129" i="21"/>
  <c r="P130" i="21"/>
  <c r="P131" i="21"/>
  <c r="P132" i="21"/>
  <c r="P133" i="21"/>
  <c r="P134" i="21"/>
  <c r="P135" i="21"/>
  <c r="P136" i="21"/>
  <c r="P121" i="21"/>
  <c r="P110" i="21"/>
  <c r="P111" i="21"/>
  <c r="P112" i="21"/>
  <c r="P113" i="21"/>
  <c r="P114" i="21"/>
  <c r="P115" i="21"/>
  <c r="P116" i="21"/>
  <c r="P117" i="21"/>
  <c r="P118" i="21"/>
  <c r="P119" i="21"/>
  <c r="P109" i="21"/>
  <c r="P120" i="21"/>
  <c r="X42" i="5"/>
  <c r="T12" i="28"/>
  <c r="F13" i="28" l="1"/>
  <c r="G13" i="28"/>
  <c r="H13" i="28"/>
  <c r="E13" i="28"/>
  <c r="T10" i="28" l="1"/>
  <c r="F11" i="28"/>
  <c r="G11" i="28"/>
  <c r="H11" i="28"/>
  <c r="E11" i="28"/>
  <c r="N12" i="28" l="1"/>
  <c r="J12" i="28"/>
  <c r="K12" i="28" s="1"/>
  <c r="P12" i="28"/>
  <c r="M98" i="21" l="1"/>
  <c r="J45" i="5"/>
  <c r="J46" i="5"/>
  <c r="K47" i="5"/>
  <c r="H21" i="28" l="1"/>
  <c r="H17" i="28"/>
  <c r="G17" i="28"/>
  <c r="F17" i="28"/>
  <c r="E17" i="28"/>
  <c r="M17" i="28"/>
  <c r="W13" i="28"/>
  <c r="U11" i="28"/>
  <c r="AA9" i="28"/>
  <c r="AB9" i="28" s="1"/>
  <c r="AB11" i="28" s="1"/>
  <c r="H9" i="28"/>
  <c r="H8" i="28" s="1"/>
  <c r="G9" i="28"/>
  <c r="G8" i="28" s="1"/>
  <c r="F9" i="28"/>
  <c r="F8" i="28" s="1"/>
  <c r="E9" i="28"/>
  <c r="E8" i="28" s="1"/>
  <c r="M7" i="28"/>
  <c r="M5" i="28" s="1"/>
  <c r="L5" i="28" s="1"/>
  <c r="G7" i="28" l="1"/>
  <c r="F7" i="28"/>
  <c r="E7" i="28"/>
  <c r="M116" i="21"/>
  <c r="M114" i="21"/>
  <c r="L53" i="5"/>
  <c r="L54" i="5"/>
  <c r="L55" i="5"/>
  <c r="L56" i="5"/>
  <c r="J53" i="5"/>
  <c r="J54" i="5"/>
  <c r="J55" i="5"/>
  <c r="J56" i="5"/>
  <c r="I76" i="5"/>
  <c r="N99" i="21" l="1"/>
  <c r="M99" i="21"/>
  <c r="P100" i="21"/>
  <c r="Q100" i="21" s="1"/>
  <c r="P99" i="21"/>
  <c r="Q99" i="21" s="1"/>
  <c r="O99" i="21"/>
  <c r="O100" i="21"/>
  <c r="F53" i="21"/>
  <c r="G53" i="21"/>
  <c r="H53" i="21"/>
  <c r="I53" i="21"/>
  <c r="J53" i="21"/>
  <c r="K53" i="21"/>
  <c r="E53" i="21"/>
  <c r="L81" i="21"/>
  <c r="L53" i="21" s="1"/>
  <c r="J38" i="5"/>
  <c r="K38" i="5"/>
  <c r="L38" i="5" s="1"/>
  <c r="G36" i="5"/>
  <c r="G39" i="5"/>
  <c r="J205" i="18"/>
  <c r="H46" i="18"/>
  <c r="H32" i="18"/>
  <c r="H65" i="18"/>
  <c r="H63" i="18"/>
  <c r="H56" i="18"/>
  <c r="H31" i="18"/>
  <c r="J190" i="18"/>
  <c r="V141" i="21"/>
  <c r="O133" i="21"/>
  <c r="O134" i="21"/>
  <c r="O135" i="21"/>
  <c r="O136" i="21"/>
  <c r="P137" i="21"/>
  <c r="F137" i="21"/>
  <c r="G137" i="21"/>
  <c r="H137" i="21"/>
  <c r="I137" i="21"/>
  <c r="J137" i="21"/>
  <c r="K137" i="21"/>
  <c r="L137" i="21"/>
  <c r="N137" i="21"/>
  <c r="E137" i="21"/>
  <c r="Q141" i="21"/>
  <c r="AF141" i="21"/>
  <c r="O141" i="21"/>
  <c r="M141" i="21"/>
  <c r="W141" i="21" s="1"/>
  <c r="L116" i="21"/>
  <c r="L113" i="21"/>
  <c r="L112" i="21"/>
  <c r="L111" i="21"/>
  <c r="L110" i="21"/>
  <c r="L109" i="21"/>
  <c r="L44" i="21"/>
  <c r="L43" i="21"/>
  <c r="L46" i="21"/>
  <c r="L22" i="21"/>
  <c r="L21" i="21"/>
  <c r="L19" i="21"/>
  <c r="L17" i="21"/>
  <c r="L37" i="21"/>
  <c r="O137" i="21" l="1"/>
  <c r="R3" i="18"/>
  <c r="W3" i="21"/>
  <c r="J87" i="18" l="1"/>
  <c r="N145" i="21" l="1"/>
  <c r="N144" i="21"/>
  <c r="N124" i="21"/>
  <c r="P215" i="21"/>
  <c r="O209" i="21"/>
  <c r="O210" i="21"/>
  <c r="P211" i="21"/>
  <c r="P10" i="21"/>
  <c r="P8" i="21" l="1"/>
  <c r="I187" i="18"/>
  <c r="J200" i="18"/>
  <c r="I151" i="18"/>
  <c r="I233" i="18"/>
  <c r="M193" i="21"/>
  <c r="M75" i="21"/>
  <c r="H78" i="5"/>
  <c r="G67" i="5"/>
  <c r="G66" i="5"/>
  <c r="O73" i="5"/>
  <c r="G76" i="5"/>
  <c r="V133" i="18" l="1"/>
  <c r="M44" i="21"/>
  <c r="I65" i="18"/>
  <c r="I24" i="5"/>
  <c r="I57" i="18"/>
  <c r="I161" i="18"/>
  <c r="N47" i="21"/>
  <c r="N46" i="21"/>
  <c r="N37" i="21"/>
  <c r="M37" i="21" s="1"/>
  <c r="I200" i="18"/>
  <c r="V176" i="21"/>
  <c r="J13" i="18"/>
  <c r="I13" i="18" s="1"/>
  <c r="N13" i="21"/>
  <c r="M13" i="21" s="1"/>
  <c r="E47" i="5"/>
  <c r="F47" i="5"/>
  <c r="G47" i="5"/>
  <c r="L47" i="5" s="1"/>
  <c r="H47" i="5"/>
  <c r="I47" i="5"/>
  <c r="J48" i="5"/>
  <c r="L48" i="5"/>
  <c r="Q48" i="5"/>
  <c r="H21" i="27"/>
  <c r="D5" i="27"/>
  <c r="F5" i="27"/>
  <c r="G5" i="27"/>
  <c r="C5" i="27"/>
  <c r="H20" i="27"/>
  <c r="E20" i="27"/>
  <c r="H22" i="27"/>
  <c r="H23" i="27"/>
  <c r="H19" i="27"/>
  <c r="E19" i="27"/>
  <c r="H18" i="27"/>
  <c r="E18" i="27"/>
  <c r="H17" i="27"/>
  <c r="E17" i="27"/>
  <c r="H16" i="27"/>
  <c r="E16" i="27"/>
  <c r="H15" i="27"/>
  <c r="E15" i="27"/>
  <c r="H14" i="27"/>
  <c r="E14" i="27"/>
  <c r="H13" i="27"/>
  <c r="E13" i="27"/>
  <c r="H12" i="27"/>
  <c r="E12" i="27"/>
  <c r="H11" i="27"/>
  <c r="E11" i="27"/>
  <c r="H10" i="27"/>
  <c r="E10" i="27"/>
  <c r="H9" i="27"/>
  <c r="E9" i="27"/>
  <c r="H8" i="27"/>
  <c r="E8" i="27"/>
  <c r="H7" i="27"/>
  <c r="E7" i="27"/>
  <c r="H6" i="27"/>
  <c r="E6" i="27"/>
  <c r="J47" i="5" l="1"/>
  <c r="Q47" i="5"/>
  <c r="O47" i="5"/>
  <c r="E5" i="27"/>
  <c r="H5" i="27"/>
  <c r="D14" i="25"/>
  <c r="D6" i="25"/>
  <c r="J14" i="25"/>
  <c r="K14" i="25" s="1"/>
  <c r="D17" i="25"/>
  <c r="J13" i="5"/>
  <c r="D6" i="26" l="1"/>
  <c r="E6" i="26"/>
  <c r="C6" i="26"/>
  <c r="M200" i="21"/>
  <c r="M91" i="21"/>
  <c r="M85" i="21"/>
  <c r="M43" i="21"/>
  <c r="I16" i="18"/>
  <c r="I17" i="18"/>
  <c r="I168" i="18"/>
  <c r="I203" i="18"/>
  <c r="I236" i="18"/>
  <c r="I237" i="18"/>
  <c r="I235" i="18"/>
  <c r="I60" i="18"/>
  <c r="I127" i="18"/>
  <c r="J14" i="5"/>
  <c r="K76" i="5"/>
  <c r="K242" i="18" l="1"/>
  <c r="L242" i="18"/>
  <c r="M242" i="18" s="1"/>
  <c r="Q176" i="21"/>
  <c r="AF176" i="21"/>
  <c r="O176" i="21"/>
  <c r="O188" i="21"/>
  <c r="M189" i="21"/>
  <c r="M183" i="21"/>
  <c r="M72" i="21"/>
  <c r="M54" i="21"/>
  <c r="I183" i="18"/>
  <c r="I51" i="18"/>
  <c r="I27" i="18"/>
  <c r="I10" i="22"/>
  <c r="H13" i="22"/>
  <c r="H71" i="5"/>
  <c r="I22" i="5"/>
  <c r="I20" i="5"/>
  <c r="I19" i="5"/>
  <c r="I18" i="5"/>
  <c r="I17" i="5"/>
  <c r="I16" i="5"/>
  <c r="I15" i="5"/>
  <c r="H104" i="19"/>
  <c r="G75" i="5" l="1"/>
  <c r="I75" i="5"/>
  <c r="F75" i="5"/>
  <c r="E75" i="5"/>
  <c r="I216" i="18"/>
  <c r="J218" i="18"/>
  <c r="I190" i="18"/>
  <c r="J81" i="18"/>
  <c r="I164" i="18"/>
  <c r="I42" i="18"/>
  <c r="I34" i="18"/>
  <c r="I179" i="18"/>
  <c r="M166" i="21"/>
  <c r="M192" i="21"/>
  <c r="M70" i="21"/>
  <c r="AA38" i="21"/>
  <c r="J12" i="5"/>
  <c r="J15" i="5"/>
  <c r="J16" i="5"/>
  <c r="J17" i="5"/>
  <c r="J18" i="5"/>
  <c r="J19" i="5"/>
  <c r="J20" i="5"/>
  <c r="J21" i="5"/>
  <c r="J22" i="5"/>
  <c r="J23" i="5"/>
  <c r="J24" i="5"/>
  <c r="J25" i="5"/>
  <c r="J26" i="5"/>
  <c r="R24" i="10"/>
  <c r="R23" i="10"/>
  <c r="J75" i="5" l="1"/>
  <c r="I218" i="18"/>
  <c r="I28" i="18"/>
  <c r="E6" i="25" l="1"/>
  <c r="E22" i="25"/>
  <c r="E21" i="25"/>
  <c r="E20" i="25"/>
  <c r="E18" i="25"/>
  <c r="E16" i="25"/>
  <c r="E15" i="25"/>
  <c r="E13" i="25"/>
  <c r="E11" i="25"/>
  <c r="E19" i="25"/>
  <c r="E9" i="25"/>
  <c r="E17" i="25"/>
  <c r="E12" i="25"/>
  <c r="E10" i="25"/>
  <c r="E14" i="25"/>
  <c r="E8" i="25"/>
  <c r="E7" i="25"/>
  <c r="D4" i="25"/>
  <c r="C4" i="25"/>
  <c r="H4" i="25" s="1"/>
  <c r="E21" i="24"/>
  <c r="E20" i="24"/>
  <c r="E19" i="24"/>
  <c r="E17" i="24"/>
  <c r="E15" i="24"/>
  <c r="E16" i="24"/>
  <c r="E7" i="24"/>
  <c r="E18" i="24"/>
  <c r="E13" i="24"/>
  <c r="E14" i="24"/>
  <c r="E12" i="24"/>
  <c r="E10" i="24"/>
  <c r="E11" i="24"/>
  <c r="E9" i="24"/>
  <c r="E8" i="24"/>
  <c r="E6" i="24"/>
  <c r="D4" i="24"/>
  <c r="E4" i="24" s="1"/>
  <c r="C4" i="24"/>
  <c r="P71" i="21"/>
  <c r="P53" i="21" s="1"/>
  <c r="P72" i="21"/>
  <c r="AF72" i="21" s="1"/>
  <c r="P79" i="21"/>
  <c r="AF79" i="21" s="1"/>
  <c r="P89" i="21"/>
  <c r="AF89" i="21" s="1"/>
  <c r="P165" i="21"/>
  <c r="AF165" i="21" s="1"/>
  <c r="P179" i="21"/>
  <c r="AF179" i="21" s="1"/>
  <c r="P183" i="21"/>
  <c r="Q189" i="21"/>
  <c r="P188" i="21"/>
  <c r="AF188" i="21" s="1"/>
  <c r="P186" i="21"/>
  <c r="AF186" i="21" s="1"/>
  <c r="AF12" i="21"/>
  <c r="AF13" i="21"/>
  <c r="AF15" i="21"/>
  <c r="AF17" i="21"/>
  <c r="AF18" i="21"/>
  <c r="AF19" i="21"/>
  <c r="AF21" i="21"/>
  <c r="AF22" i="21"/>
  <c r="AF23" i="21"/>
  <c r="AF25" i="21"/>
  <c r="AF26" i="21"/>
  <c r="AF28" i="21"/>
  <c r="AF29" i="21"/>
  <c r="AF30" i="21"/>
  <c r="AF32" i="21"/>
  <c r="AF33" i="21"/>
  <c r="AF34" i="21"/>
  <c r="AF36" i="21"/>
  <c r="AF37" i="21"/>
  <c r="AF38" i="21"/>
  <c r="AF40" i="21"/>
  <c r="AF41" i="21"/>
  <c r="AF43" i="21"/>
  <c r="AF44" i="21"/>
  <c r="AF46" i="21"/>
  <c r="AF47" i="21"/>
  <c r="AF48" i="21"/>
  <c r="AF50" i="21"/>
  <c r="AF54" i="21"/>
  <c r="AF55" i="21"/>
  <c r="AF56" i="21"/>
  <c r="AF57" i="21"/>
  <c r="AF58" i="21"/>
  <c r="AF59" i="21"/>
  <c r="AF60" i="21"/>
  <c r="AF61" i="21"/>
  <c r="AF62" i="21"/>
  <c r="AF63" i="21"/>
  <c r="AF64" i="21"/>
  <c r="AF65" i="21"/>
  <c r="AF66" i="21"/>
  <c r="AF67" i="21"/>
  <c r="AF68" i="21"/>
  <c r="AF69" i="21"/>
  <c r="AF70" i="21"/>
  <c r="AF73" i="21"/>
  <c r="AF74" i="21"/>
  <c r="AF75" i="21"/>
  <c r="AF76" i="21"/>
  <c r="AF77" i="21"/>
  <c r="AF78" i="21"/>
  <c r="AF80" i="21"/>
  <c r="AF81" i="21"/>
  <c r="AF82" i="21"/>
  <c r="AF83" i="21"/>
  <c r="AF84" i="21"/>
  <c r="AF85" i="21"/>
  <c r="AF86" i="21"/>
  <c r="AF87" i="21"/>
  <c r="AF88" i="21"/>
  <c r="AF90" i="21"/>
  <c r="AF91" i="21"/>
  <c r="AF92" i="21"/>
  <c r="AF93" i="21"/>
  <c r="AF94" i="21"/>
  <c r="AF95" i="21"/>
  <c r="AF96" i="21"/>
  <c r="AF97" i="21"/>
  <c r="AF98" i="21"/>
  <c r="AF103" i="21"/>
  <c r="AF105" i="21"/>
  <c r="AF109" i="21"/>
  <c r="AF110" i="21"/>
  <c r="AF111" i="21"/>
  <c r="AF112" i="21"/>
  <c r="AF113" i="21"/>
  <c r="AF114" i="21"/>
  <c r="AF115" i="21"/>
  <c r="AF116" i="21"/>
  <c r="AF117" i="21"/>
  <c r="AF118" i="21"/>
  <c r="AF119" i="21"/>
  <c r="AF121" i="21"/>
  <c r="AF122" i="21"/>
  <c r="AF123" i="21"/>
  <c r="AF124" i="21"/>
  <c r="AF125" i="21"/>
  <c r="AF126" i="21"/>
  <c r="AF127" i="21"/>
  <c r="AF128" i="21"/>
  <c r="AF129" i="21"/>
  <c r="AF130" i="21"/>
  <c r="AF131" i="21"/>
  <c r="AF133" i="21"/>
  <c r="AF134" i="21"/>
  <c r="AF135" i="21"/>
  <c r="AF136" i="21"/>
  <c r="AF138" i="21"/>
  <c r="AF139" i="21"/>
  <c r="AF140" i="21"/>
  <c r="AF144" i="21"/>
  <c r="AF145" i="21"/>
  <c r="AF147" i="21"/>
  <c r="AF148" i="21"/>
  <c r="AF149" i="21"/>
  <c r="AF150" i="21"/>
  <c r="AF151" i="21"/>
  <c r="AF152" i="21"/>
  <c r="AF153" i="21"/>
  <c r="AF154" i="21"/>
  <c r="AF155" i="21"/>
  <c r="AF156" i="21"/>
  <c r="AF157" i="21"/>
  <c r="AF158" i="21"/>
  <c r="AF159" i="21"/>
  <c r="AF160" i="21"/>
  <c r="AF161" i="21"/>
  <c r="AF162" i="21"/>
  <c r="AF163" i="21"/>
  <c r="AF164" i="21"/>
  <c r="AF166" i="21"/>
  <c r="AF167" i="21"/>
  <c r="AF168" i="21"/>
  <c r="AF169" i="21"/>
  <c r="AF170" i="21"/>
  <c r="AF171" i="21"/>
  <c r="AF172" i="21"/>
  <c r="AF173" i="21"/>
  <c r="AF174" i="21"/>
  <c r="AF175" i="21"/>
  <c r="AF177" i="21"/>
  <c r="AF178" i="21"/>
  <c r="AF180" i="21"/>
  <c r="AF181" i="21"/>
  <c r="AF182" i="21"/>
  <c r="AF187" i="21"/>
  <c r="AF189" i="21"/>
  <c r="AF190" i="21"/>
  <c r="AF192" i="21"/>
  <c r="AF193" i="21"/>
  <c r="AF194" i="21"/>
  <c r="AF195" i="21"/>
  <c r="AF196" i="21"/>
  <c r="AF197" i="21"/>
  <c r="AF198" i="21"/>
  <c r="AF199" i="21"/>
  <c r="AF200" i="21"/>
  <c r="AF201" i="21"/>
  <c r="AF202" i="21"/>
  <c r="AF203" i="21"/>
  <c r="AF204" i="21"/>
  <c r="AF205" i="21"/>
  <c r="AF206" i="21"/>
  <c r="AF208" i="21"/>
  <c r="AF209" i="21"/>
  <c r="AF210" i="21"/>
  <c r="AF212" i="21"/>
  <c r="AF213" i="21"/>
  <c r="AF214" i="21"/>
  <c r="AF216" i="21"/>
  <c r="AF217" i="21"/>
  <c r="AF218" i="21"/>
  <c r="AF219" i="21"/>
  <c r="AF220" i="21"/>
  <c r="AF221" i="21"/>
  <c r="AF222" i="21"/>
  <c r="AF223" i="21"/>
  <c r="AF224" i="21"/>
  <c r="AF225" i="21"/>
  <c r="AF226" i="21"/>
  <c r="AF227" i="21"/>
  <c r="AF228" i="21"/>
  <c r="AF229" i="21"/>
  <c r="AF230" i="21"/>
  <c r="AF231" i="21"/>
  <c r="AF232" i="21"/>
  <c r="AF233" i="21"/>
  <c r="AF234" i="21"/>
  <c r="AF235" i="21"/>
  <c r="AF236" i="21"/>
  <c r="AF237" i="21"/>
  <c r="AF238" i="21"/>
  <c r="AF239" i="21"/>
  <c r="AF240" i="21"/>
  <c r="AF241" i="21"/>
  <c r="AF242" i="21"/>
  <c r="AF243" i="21"/>
  <c r="AF244" i="21"/>
  <c r="AF245" i="21"/>
  <c r="AF246" i="21"/>
  <c r="AF247" i="21"/>
  <c r="AF248" i="21"/>
  <c r="AF249" i="21"/>
  <c r="AF250" i="21"/>
  <c r="AF251" i="21"/>
  <c r="AF252" i="21"/>
  <c r="AF253" i="21"/>
  <c r="AF254" i="21"/>
  <c r="AF255" i="21"/>
  <c r="AF256" i="21"/>
  <c r="AF257" i="21"/>
  <c r="AF258" i="21"/>
  <c r="AF259" i="21"/>
  <c r="AF260" i="21"/>
  <c r="AF261" i="21"/>
  <c r="AF262" i="21"/>
  <c r="AF263" i="21"/>
  <c r="AF264" i="21"/>
  <c r="AF265" i="21"/>
  <c r="AF266" i="21"/>
  <c r="AF267" i="21"/>
  <c r="AF268" i="21"/>
  <c r="AF269" i="21"/>
  <c r="AF270" i="21"/>
  <c r="AF271" i="21"/>
  <c r="AF272" i="21"/>
  <c r="AF273" i="21"/>
  <c r="AF274" i="21"/>
  <c r="AF275" i="21"/>
  <c r="AF276" i="21"/>
  <c r="AF277" i="21"/>
  <c r="AF278" i="21"/>
  <c r="AF279" i="21"/>
  <c r="AF280" i="21"/>
  <c r="AF281" i="21"/>
  <c r="AF282" i="21"/>
  <c r="AF283" i="21"/>
  <c r="AF284" i="21"/>
  <c r="AF285" i="21"/>
  <c r="AF286" i="21"/>
  <c r="AF287" i="21"/>
  <c r="AF288" i="21"/>
  <c r="AF289" i="21"/>
  <c r="AF290" i="21"/>
  <c r="AF291" i="21"/>
  <c r="AF292" i="21"/>
  <c r="AF293" i="21"/>
  <c r="AF294" i="21"/>
  <c r="AF295" i="21"/>
  <c r="AF296" i="21"/>
  <c r="M60" i="21"/>
  <c r="W60" i="21" s="1"/>
  <c r="M139" i="21"/>
  <c r="W139" i="21" s="1"/>
  <c r="M122" i="21"/>
  <c r="W122" i="21" s="1"/>
  <c r="M123" i="21"/>
  <c r="W123" i="21" s="1"/>
  <c r="M124" i="21"/>
  <c r="W124" i="21" s="1"/>
  <c r="M125" i="21"/>
  <c r="W125" i="21" s="1"/>
  <c r="M126" i="21"/>
  <c r="W126" i="21" s="1"/>
  <c r="M127" i="21"/>
  <c r="M128" i="21"/>
  <c r="W128" i="21" s="1"/>
  <c r="M129" i="21"/>
  <c r="W129" i="21" s="1"/>
  <c r="M130" i="21"/>
  <c r="W130" i="21" s="1"/>
  <c r="M131" i="21"/>
  <c r="W131" i="21" s="1"/>
  <c r="M121" i="21"/>
  <c r="W121" i="21" s="1"/>
  <c r="N26" i="21"/>
  <c r="W26" i="21" s="1"/>
  <c r="V12" i="21"/>
  <c r="V13" i="21"/>
  <c r="V17" i="21"/>
  <c r="V19" i="21"/>
  <c r="V21" i="21"/>
  <c r="V22" i="21"/>
  <c r="V23" i="21"/>
  <c r="V25" i="21"/>
  <c r="V28" i="21"/>
  <c r="V29" i="21"/>
  <c r="V30" i="21"/>
  <c r="V32" i="21"/>
  <c r="V33" i="21"/>
  <c r="V34" i="21"/>
  <c r="V36" i="21"/>
  <c r="V37" i="21"/>
  <c r="V38" i="21"/>
  <c r="V43" i="21"/>
  <c r="V44" i="21"/>
  <c r="V46" i="21"/>
  <c r="V47" i="21"/>
  <c r="V48" i="21"/>
  <c r="V50" i="21"/>
  <c r="V54" i="21"/>
  <c r="V55" i="21"/>
  <c r="V56" i="21"/>
  <c r="V57" i="21"/>
  <c r="V58" i="21"/>
  <c r="V59" i="21"/>
  <c r="V60" i="21"/>
  <c r="V61" i="21"/>
  <c r="V62" i="21"/>
  <c r="V63" i="21"/>
  <c r="V64" i="21"/>
  <c r="V65" i="21"/>
  <c r="V66" i="21"/>
  <c r="V67" i="21"/>
  <c r="V68" i="21"/>
  <c r="V69" i="21"/>
  <c r="V70" i="21"/>
  <c r="V72" i="21"/>
  <c r="V73" i="21"/>
  <c r="V74" i="21"/>
  <c r="V75" i="21"/>
  <c r="V76" i="21"/>
  <c r="V77" i="21"/>
  <c r="V78" i="21"/>
  <c r="V79" i="21"/>
  <c r="V80" i="21"/>
  <c r="V81" i="21"/>
  <c r="V82" i="21"/>
  <c r="V83" i="21"/>
  <c r="V84" i="21"/>
  <c r="V85" i="21"/>
  <c r="V86" i="21"/>
  <c r="V87" i="21"/>
  <c r="V88" i="21"/>
  <c r="V89" i="21"/>
  <c r="V90" i="21"/>
  <c r="V91" i="21"/>
  <c r="V92" i="21"/>
  <c r="V94" i="21"/>
  <c r="V95" i="21"/>
  <c r="V96" i="21"/>
  <c r="V97" i="21"/>
  <c r="V98" i="21"/>
  <c r="V103" i="21"/>
  <c r="V105" i="21"/>
  <c r="V109" i="21"/>
  <c r="V110" i="21"/>
  <c r="V111" i="21"/>
  <c r="V112" i="21"/>
  <c r="V113" i="21"/>
  <c r="V114" i="21"/>
  <c r="V115" i="21"/>
  <c r="V116" i="21"/>
  <c r="V117" i="21"/>
  <c r="V118" i="21"/>
  <c r="V119" i="21"/>
  <c r="V121" i="21"/>
  <c r="V122" i="21"/>
  <c r="V123" i="21"/>
  <c r="V124" i="21"/>
  <c r="V125" i="21"/>
  <c r="V126" i="21"/>
  <c r="V127" i="21"/>
  <c r="V128" i="21"/>
  <c r="V129" i="21"/>
  <c r="V130" i="21"/>
  <c r="V131" i="21"/>
  <c r="V133" i="21"/>
  <c r="V134" i="21"/>
  <c r="V135" i="21"/>
  <c r="V136" i="21"/>
  <c r="V138" i="21"/>
  <c r="V139" i="21"/>
  <c r="V140" i="21"/>
  <c r="V144" i="21"/>
  <c r="V145"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7" i="21"/>
  <c r="V178" i="21"/>
  <c r="V179" i="21"/>
  <c r="V180" i="21"/>
  <c r="V181" i="21"/>
  <c r="V182" i="21"/>
  <c r="V183" i="21"/>
  <c r="V186" i="21"/>
  <c r="V187" i="21"/>
  <c r="V188" i="21"/>
  <c r="V189" i="21"/>
  <c r="V190" i="21"/>
  <c r="V192" i="21"/>
  <c r="V193" i="21"/>
  <c r="V194" i="21"/>
  <c r="V195" i="21"/>
  <c r="V196" i="21"/>
  <c r="V197" i="21"/>
  <c r="V198" i="21"/>
  <c r="V199" i="21"/>
  <c r="V200" i="21"/>
  <c r="V201" i="21"/>
  <c r="V202" i="21"/>
  <c r="V203" i="21"/>
  <c r="V204" i="21"/>
  <c r="V205" i="21"/>
  <c r="V206" i="21"/>
  <c r="V209" i="21"/>
  <c r="V210" i="21"/>
  <c r="V212" i="21"/>
  <c r="V214" i="21"/>
  <c r="V217" i="21"/>
  <c r="V218" i="21"/>
  <c r="V219" i="21"/>
  <c r="V220" i="21"/>
  <c r="V221" i="21"/>
  <c r="W12" i="21"/>
  <c r="W13" i="21"/>
  <c r="W25" i="21"/>
  <c r="W34" i="21"/>
  <c r="W36" i="21"/>
  <c r="W37" i="21"/>
  <c r="W43" i="21"/>
  <c r="W44" i="21"/>
  <c r="W54" i="21"/>
  <c r="W55" i="21"/>
  <c r="W57" i="21"/>
  <c r="W64" i="21"/>
  <c r="W65" i="21"/>
  <c r="W66" i="21"/>
  <c r="W69" i="21"/>
  <c r="W70" i="21"/>
  <c r="W72" i="21"/>
  <c r="W73" i="21"/>
  <c r="W75" i="21"/>
  <c r="W77" i="21"/>
  <c r="W79" i="21"/>
  <c r="W80" i="21"/>
  <c r="W81" i="21"/>
  <c r="W82" i="21"/>
  <c r="W85" i="21"/>
  <c r="W88" i="21"/>
  <c r="W90" i="21"/>
  <c r="W91" i="21"/>
  <c r="W94" i="21"/>
  <c r="W98" i="21"/>
  <c r="W109" i="21"/>
  <c r="W110" i="21"/>
  <c r="W111" i="21"/>
  <c r="W112" i="21"/>
  <c r="W113" i="21"/>
  <c r="W114" i="21"/>
  <c r="W115" i="21"/>
  <c r="W116" i="21"/>
  <c r="W117" i="21"/>
  <c r="W118" i="21"/>
  <c r="W119" i="21"/>
  <c r="W127" i="21"/>
  <c r="W133" i="21"/>
  <c r="W134" i="21"/>
  <c r="W135" i="21"/>
  <c r="W136" i="21"/>
  <c r="W148" i="21"/>
  <c r="W149" i="21"/>
  <c r="W163" i="21"/>
  <c r="W164" i="21"/>
  <c r="W165" i="21"/>
  <c r="W166" i="21"/>
  <c r="W167" i="21"/>
  <c r="W168" i="21"/>
  <c r="W169" i="21"/>
  <c r="W173" i="21"/>
  <c r="W178" i="21"/>
  <c r="W181" i="21"/>
  <c r="W183" i="21"/>
  <c r="W187" i="21"/>
  <c r="W189" i="21"/>
  <c r="W192" i="21"/>
  <c r="W193" i="21"/>
  <c r="W200" i="21"/>
  <c r="W202" i="21"/>
  <c r="W209" i="21"/>
  <c r="W210" i="21"/>
  <c r="W212" i="21"/>
  <c r="W217" i="21"/>
  <c r="W220" i="21"/>
  <c r="W221" i="21"/>
  <c r="I89" i="18"/>
  <c r="U89" i="18" s="1"/>
  <c r="I87" i="18"/>
  <c r="U87" i="18" s="1"/>
  <c r="I62" i="18"/>
  <c r="U62" i="18" s="1"/>
  <c r="I55" i="18"/>
  <c r="U55" i="18" s="1"/>
  <c r="I40" i="18"/>
  <c r="U40" i="18" s="1"/>
  <c r="I39" i="18"/>
  <c r="U39" i="18" s="1"/>
  <c r="I32" i="18"/>
  <c r="U32" i="18" s="1"/>
  <c r="I82" i="18"/>
  <c r="U82" i="18" s="1"/>
  <c r="U13" i="18"/>
  <c r="U16" i="18"/>
  <c r="U17" i="18"/>
  <c r="U22" i="18"/>
  <c r="U27" i="18"/>
  <c r="U28" i="18"/>
  <c r="U34" i="18"/>
  <c r="U35" i="18"/>
  <c r="U36" i="18"/>
  <c r="U42" i="18"/>
  <c r="U44" i="18"/>
  <c r="U45" i="18"/>
  <c r="U47" i="18"/>
  <c r="U48" i="18"/>
  <c r="U50" i="18"/>
  <c r="U51" i="18"/>
  <c r="U52" i="18"/>
  <c r="U53" i="18"/>
  <c r="U57" i="18"/>
  <c r="U58" i="18"/>
  <c r="U59" i="18"/>
  <c r="U60" i="18"/>
  <c r="U63" i="18"/>
  <c r="U64" i="18"/>
  <c r="U65" i="18"/>
  <c r="U67" i="18"/>
  <c r="U69" i="18"/>
  <c r="U74" i="18"/>
  <c r="U75" i="18"/>
  <c r="U76" i="18"/>
  <c r="U83" i="18"/>
  <c r="U84" i="18"/>
  <c r="U93" i="18"/>
  <c r="U94" i="18"/>
  <c r="U95" i="18"/>
  <c r="U96" i="18"/>
  <c r="U97" i="18"/>
  <c r="U98" i="18"/>
  <c r="U99" i="18"/>
  <c r="U100" i="18"/>
  <c r="U101" i="18"/>
  <c r="U102" i="18"/>
  <c r="U103" i="18"/>
  <c r="U104" i="18"/>
  <c r="U118" i="18"/>
  <c r="U119" i="18"/>
  <c r="U120" i="18"/>
  <c r="U121" i="18"/>
  <c r="U122" i="18"/>
  <c r="U123" i="18"/>
  <c r="U124" i="18"/>
  <c r="U127" i="18"/>
  <c r="U129" i="18"/>
  <c r="U133" i="18"/>
  <c r="U137" i="18"/>
  <c r="U138" i="18"/>
  <c r="U140" i="18"/>
  <c r="U141" i="18"/>
  <c r="U148" i="18"/>
  <c r="U151" i="18"/>
  <c r="U152" i="18"/>
  <c r="U153" i="18"/>
  <c r="U157" i="18"/>
  <c r="U161" i="18"/>
  <c r="U164" i="18"/>
  <c r="U168" i="18"/>
  <c r="U173" i="18"/>
  <c r="U176" i="18"/>
  <c r="U179" i="18"/>
  <c r="U180" i="18"/>
  <c r="U182" i="18"/>
  <c r="U187" i="18"/>
  <c r="U190" i="18"/>
  <c r="U193" i="18"/>
  <c r="U200" i="18"/>
  <c r="U203" i="18"/>
  <c r="U206" i="18"/>
  <c r="U215" i="18"/>
  <c r="U216" i="18"/>
  <c r="U218" i="18"/>
  <c r="U223" i="18"/>
  <c r="U227" i="18"/>
  <c r="U233" i="18"/>
  <c r="U235" i="18"/>
  <c r="U236" i="18"/>
  <c r="U237" i="18"/>
  <c r="U238" i="18"/>
  <c r="U240" i="18"/>
  <c r="Q12" i="5"/>
  <c r="Q13" i="5"/>
  <c r="Q14" i="5"/>
  <c r="Q15" i="5"/>
  <c r="Q16" i="5"/>
  <c r="Q17" i="5"/>
  <c r="Q18" i="5"/>
  <c r="Q19" i="5"/>
  <c r="Q20" i="5"/>
  <c r="Q21" i="5"/>
  <c r="Q22" i="5"/>
  <c r="Q23" i="5"/>
  <c r="Q24" i="5"/>
  <c r="Q25" i="5"/>
  <c r="Q26" i="5"/>
  <c r="Q28" i="5"/>
  <c r="Q33" i="5"/>
  <c r="Q34" i="5"/>
  <c r="Q35" i="5"/>
  <c r="Q36" i="5"/>
  <c r="Q45" i="5"/>
  <c r="Q46" i="5"/>
  <c r="Q59" i="5"/>
  <c r="Q60" i="5"/>
  <c r="Q62" i="5"/>
  <c r="Q63" i="5"/>
  <c r="Q71" i="5"/>
  <c r="Q74" i="5"/>
  <c r="Q77" i="5"/>
  <c r="Q78" i="5"/>
  <c r="I128" i="18"/>
  <c r="U128" i="18" s="1"/>
  <c r="I107" i="18"/>
  <c r="U107" i="18" s="1"/>
  <c r="I108" i="18"/>
  <c r="U108" i="18" s="1"/>
  <c r="I109" i="18"/>
  <c r="U109" i="18" s="1"/>
  <c r="I110" i="18"/>
  <c r="U110" i="18" s="1"/>
  <c r="I111" i="18"/>
  <c r="U111" i="18" s="1"/>
  <c r="I112" i="18"/>
  <c r="U112" i="18" s="1"/>
  <c r="I113" i="18"/>
  <c r="U113" i="18" s="1"/>
  <c r="I114" i="18"/>
  <c r="U114" i="18" s="1"/>
  <c r="I115" i="18"/>
  <c r="U115" i="18" s="1"/>
  <c r="I116" i="18"/>
  <c r="U116" i="18" s="1"/>
  <c r="I106" i="18"/>
  <c r="U106" i="18" s="1"/>
  <c r="I38" i="18"/>
  <c r="U38" i="18" s="1"/>
  <c r="I43" i="18"/>
  <c r="U43" i="18" s="1"/>
  <c r="I37" i="18"/>
  <c r="U37" i="18" s="1"/>
  <c r="K12" i="22"/>
  <c r="O78" i="5"/>
  <c r="O76" i="5"/>
  <c r="O77" i="5"/>
  <c r="O12" i="5"/>
  <c r="O13" i="5"/>
  <c r="O14" i="5"/>
  <c r="O15" i="5"/>
  <c r="O16" i="5"/>
  <c r="O17" i="5"/>
  <c r="O18" i="5"/>
  <c r="O19" i="5"/>
  <c r="O20" i="5"/>
  <c r="O21" i="5"/>
  <c r="O22" i="5"/>
  <c r="O23" i="5"/>
  <c r="O24" i="5"/>
  <c r="O25" i="5"/>
  <c r="O26" i="5"/>
  <c r="H11" i="5"/>
  <c r="I11" i="5"/>
  <c r="K13" i="5"/>
  <c r="L13" i="5" s="1"/>
  <c r="K14" i="5"/>
  <c r="L14" i="5" s="1"/>
  <c r="K15" i="5"/>
  <c r="L15" i="5" s="1"/>
  <c r="K16" i="5"/>
  <c r="L16" i="5" s="1"/>
  <c r="K17" i="5"/>
  <c r="L17" i="5" s="1"/>
  <c r="K18" i="5"/>
  <c r="L18" i="5" s="1"/>
  <c r="K19" i="5"/>
  <c r="L19" i="5" s="1"/>
  <c r="K20" i="5"/>
  <c r="L20" i="5" s="1"/>
  <c r="K21" i="5"/>
  <c r="L21" i="5" s="1"/>
  <c r="K22" i="5"/>
  <c r="L22" i="5" s="1"/>
  <c r="K23" i="5"/>
  <c r="L23" i="5" s="1"/>
  <c r="K24" i="5"/>
  <c r="L24" i="5" s="1"/>
  <c r="K25" i="5"/>
  <c r="L25" i="5" s="1"/>
  <c r="K26" i="5"/>
  <c r="L26" i="5" s="1"/>
  <c r="K12" i="5"/>
  <c r="L12" i="5" s="1"/>
  <c r="G11" i="5"/>
  <c r="AF71" i="21" l="1"/>
  <c r="Q188" i="21"/>
  <c r="E4" i="25"/>
  <c r="Q11" i="5"/>
  <c r="I4" i="25"/>
  <c r="V26" i="21"/>
  <c r="J11" i="5"/>
  <c r="K11" i="5"/>
  <c r="G43" i="18"/>
  <c r="G59" i="18"/>
  <c r="G50" i="18"/>
  <c r="G45" i="18"/>
  <c r="G44" i="18"/>
  <c r="K75" i="5"/>
  <c r="K14" i="22"/>
  <c r="K11" i="22"/>
  <c r="K10" i="22"/>
  <c r="H10" i="22"/>
  <c r="I20" i="18"/>
  <c r="U20" i="18" s="1"/>
  <c r="I229" i="18"/>
  <c r="U229" i="18" s="1"/>
  <c r="M89" i="21"/>
  <c r="W89" i="21" s="1"/>
  <c r="M201" i="21"/>
  <c r="W201" i="21" s="1"/>
  <c r="I196" i="18"/>
  <c r="U196" i="18" s="1"/>
  <c r="I234" i="18"/>
  <c r="U234" i="18" s="1"/>
  <c r="I80" i="18"/>
  <c r="U80" i="18" s="1"/>
  <c r="I77" i="18"/>
  <c r="U77" i="18" s="1"/>
  <c r="I72" i="18"/>
  <c r="U72" i="18" s="1"/>
  <c r="I49" i="18"/>
  <c r="U49" i="18" s="1"/>
  <c r="I46" i="18"/>
  <c r="U46" i="18" s="1"/>
  <c r="M188" i="21"/>
  <c r="W188" i="21" s="1"/>
  <c r="M93" i="21"/>
  <c r="N93" i="21"/>
  <c r="M86" i="21"/>
  <c r="W86" i="21" s="1"/>
  <c r="N71" i="21"/>
  <c r="H30" i="5"/>
  <c r="Q30" i="5" s="1"/>
  <c r="W218" i="21"/>
  <c r="H72" i="5"/>
  <c r="Q72" i="5" s="1"/>
  <c r="J72" i="5"/>
  <c r="O72" i="5"/>
  <c r="K72" i="5"/>
  <c r="L72" i="5" s="1"/>
  <c r="N41" i="21"/>
  <c r="V41" i="21" s="1"/>
  <c r="V40" i="21"/>
  <c r="O32" i="5"/>
  <c r="O33" i="5"/>
  <c r="O34" i="5"/>
  <c r="O35" i="5"/>
  <c r="O36" i="5"/>
  <c r="O37" i="5"/>
  <c r="V71" i="21" l="1"/>
  <c r="N53" i="21"/>
  <c r="V93" i="21"/>
  <c r="W93" i="21"/>
  <c r="E185" i="21"/>
  <c r="F146" i="21"/>
  <c r="G146" i="21"/>
  <c r="H146" i="21"/>
  <c r="I146" i="21"/>
  <c r="J146" i="21"/>
  <c r="K146" i="21"/>
  <c r="L146" i="21"/>
  <c r="N146" i="21"/>
  <c r="AF183" i="21"/>
  <c r="O183" i="21"/>
  <c r="V146" i="21" l="1"/>
  <c r="P146" i="21"/>
  <c r="Q183" i="21"/>
  <c r="O146" i="21"/>
  <c r="M186" i="21"/>
  <c r="W186" i="21" s="1"/>
  <c r="M46" i="21"/>
  <c r="W46" i="21" s="1"/>
  <c r="M47" i="21"/>
  <c r="W47" i="21" s="1"/>
  <c r="I30" i="18"/>
  <c r="U30" i="18" s="1"/>
  <c r="I186" i="18"/>
  <c r="U186" i="18" s="1"/>
  <c r="I41" i="18"/>
  <c r="U41" i="18" s="1"/>
  <c r="I66" i="18"/>
  <c r="U66" i="18" s="1"/>
  <c r="H44" i="5"/>
  <c r="Q44" i="5" s="1"/>
  <c r="H32" i="5"/>
  <c r="Q32" i="5" s="1"/>
  <c r="H29" i="5"/>
  <c r="M30" i="21"/>
  <c r="W30" i="21" s="1"/>
  <c r="M58" i="21"/>
  <c r="W58" i="21" s="1"/>
  <c r="O165" i="21"/>
  <c r="N15" i="21"/>
  <c r="V15" i="21" s="1"/>
  <c r="M76" i="21"/>
  <c r="W76" i="21" s="1"/>
  <c r="M78" i="21"/>
  <c r="W78" i="21" s="1"/>
  <c r="M74" i="21"/>
  <c r="W74" i="21" s="1"/>
  <c r="M214" i="21"/>
  <c r="W214" i="21" s="1"/>
  <c r="M219" i="21"/>
  <c r="W219" i="21" s="1"/>
  <c r="K9" i="22"/>
  <c r="R9" i="22" s="1"/>
  <c r="R10" i="22"/>
  <c r="R11" i="22"/>
  <c r="R12" i="22"/>
  <c r="R13" i="22"/>
  <c r="R14" i="22"/>
  <c r="R15" i="22"/>
  <c r="P9" i="22"/>
  <c r="P10" i="22"/>
  <c r="P11" i="22"/>
  <c r="P12" i="22"/>
  <c r="P13" i="22"/>
  <c r="P14" i="22"/>
  <c r="P15" i="22"/>
  <c r="I56" i="18"/>
  <c r="U56" i="18" s="1"/>
  <c r="I33" i="18"/>
  <c r="U33" i="18" s="1"/>
  <c r="H41" i="5"/>
  <c r="Q41" i="5" s="1"/>
  <c r="M97" i="21"/>
  <c r="W97" i="21" s="1"/>
  <c r="K233" i="18"/>
  <c r="O193" i="21"/>
  <c r="Q12" i="21"/>
  <c r="Q13" i="21"/>
  <c r="Q15" i="21"/>
  <c r="Q17" i="21"/>
  <c r="Q18" i="21"/>
  <c r="Q19" i="21"/>
  <c r="Q21" i="21"/>
  <c r="Q22" i="21"/>
  <c r="Q23" i="21"/>
  <c r="Q25" i="21"/>
  <c r="Q26" i="21"/>
  <c r="Q28" i="21"/>
  <c r="Q29" i="21"/>
  <c r="Q30" i="21"/>
  <c r="Q32" i="21"/>
  <c r="Q33" i="21"/>
  <c r="Q34" i="21"/>
  <c r="Q36" i="21"/>
  <c r="Q37" i="21"/>
  <c r="Q38" i="21"/>
  <c r="Q40" i="21"/>
  <c r="Q41" i="21"/>
  <c r="Q43" i="21"/>
  <c r="Q44" i="21"/>
  <c r="Q46" i="21"/>
  <c r="Q47" i="21"/>
  <c r="Q48" i="21"/>
  <c r="Q50" i="21"/>
  <c r="Q54" i="21"/>
  <c r="Q55" i="21"/>
  <c r="Q56" i="21"/>
  <c r="Q57" i="21"/>
  <c r="Q58" i="21"/>
  <c r="Q59" i="21"/>
  <c r="Q60" i="21"/>
  <c r="Q61" i="21"/>
  <c r="Q62" i="21"/>
  <c r="Q63" i="21"/>
  <c r="Q64" i="21"/>
  <c r="Q65" i="21"/>
  <c r="Q66" i="21"/>
  <c r="Q67" i="21"/>
  <c r="Q68" i="21"/>
  <c r="Q69" i="21"/>
  <c r="Q70" i="21"/>
  <c r="Q71" i="21"/>
  <c r="Q72" i="21"/>
  <c r="Q74" i="21"/>
  <c r="Q75" i="21"/>
  <c r="Q76" i="21"/>
  <c r="Q77" i="21"/>
  <c r="Q78" i="21"/>
  <c r="Q79" i="21"/>
  <c r="Q80" i="21"/>
  <c r="Q81" i="21"/>
  <c r="Q82" i="21"/>
  <c r="Q83" i="21"/>
  <c r="Q84" i="21"/>
  <c r="Q85" i="21"/>
  <c r="Q86" i="21"/>
  <c r="Q87" i="21"/>
  <c r="Q88" i="21"/>
  <c r="Q89" i="21"/>
  <c r="Q90" i="21"/>
  <c r="Q91" i="21"/>
  <c r="Q92" i="21"/>
  <c r="Q93" i="21"/>
  <c r="Q94" i="21"/>
  <c r="Q95" i="21"/>
  <c r="Q96" i="21"/>
  <c r="Q97" i="21"/>
  <c r="Q98" i="21"/>
  <c r="Q103" i="21"/>
  <c r="Q105" i="21"/>
  <c r="Q109" i="21"/>
  <c r="Q110" i="21"/>
  <c r="Q111" i="21"/>
  <c r="Q112" i="21"/>
  <c r="Q113" i="21"/>
  <c r="Q114" i="21"/>
  <c r="Q116" i="21"/>
  <c r="Q117" i="21"/>
  <c r="Q118" i="21"/>
  <c r="Q119" i="21"/>
  <c r="Q121" i="21"/>
  <c r="Q122" i="21"/>
  <c r="Q123" i="21"/>
  <c r="Q124" i="21"/>
  <c r="Q125" i="21"/>
  <c r="Q126" i="21"/>
  <c r="Q127" i="21"/>
  <c r="Q128" i="21"/>
  <c r="Q129" i="21"/>
  <c r="Q130" i="21"/>
  <c r="Q131" i="21"/>
  <c r="Q138" i="21"/>
  <c r="Q139" i="21"/>
  <c r="Q140" i="21"/>
  <c r="Q144" i="21"/>
  <c r="Q145" i="21"/>
  <c r="Q147" i="21"/>
  <c r="Q148" i="21"/>
  <c r="Q149" i="21"/>
  <c r="Q150" i="21"/>
  <c r="Q151" i="21"/>
  <c r="Q152" i="21"/>
  <c r="Q153" i="21"/>
  <c r="Q154" i="21"/>
  <c r="Q155" i="21"/>
  <c r="Q156" i="21"/>
  <c r="Q157" i="21"/>
  <c r="Q158" i="21"/>
  <c r="Q159" i="21"/>
  <c r="Q160" i="21"/>
  <c r="Q161" i="21"/>
  <c r="Q162" i="21"/>
  <c r="Q163" i="21"/>
  <c r="Q164" i="21"/>
  <c r="Q165" i="21"/>
  <c r="Q166" i="21"/>
  <c r="Q167" i="21"/>
  <c r="Q168" i="21"/>
  <c r="Q169" i="21"/>
  <c r="Q170" i="21"/>
  <c r="Q171" i="21"/>
  <c r="Q172" i="21"/>
  <c r="Q173" i="21"/>
  <c r="Q174" i="21"/>
  <c r="Q175" i="21"/>
  <c r="Q177" i="21"/>
  <c r="Q178" i="21"/>
  <c r="Q179" i="21"/>
  <c r="Q180" i="21"/>
  <c r="Q181" i="21"/>
  <c r="Q182" i="21"/>
  <c r="Q186" i="21"/>
  <c r="Q190" i="21"/>
  <c r="Q192" i="21"/>
  <c r="Q193" i="21"/>
  <c r="Q194" i="21"/>
  <c r="Q195" i="21"/>
  <c r="Q196" i="21"/>
  <c r="Q197" i="21"/>
  <c r="Q198" i="21"/>
  <c r="Q199" i="21"/>
  <c r="Q200" i="21"/>
  <c r="Q201" i="21"/>
  <c r="Q202" i="21"/>
  <c r="Q203" i="21"/>
  <c r="Q204" i="21"/>
  <c r="Q205" i="21"/>
  <c r="Q206" i="21"/>
  <c r="Q212" i="21"/>
  <c r="Q213" i="21"/>
  <c r="Q214" i="21"/>
  <c r="Q216" i="21"/>
  <c r="Q217" i="21"/>
  <c r="Q218" i="21"/>
  <c r="Q219" i="21"/>
  <c r="Q220" i="21"/>
  <c r="Q221" i="21"/>
  <c r="M248" i="18"/>
  <c r="J76" i="5"/>
  <c r="I23" i="10"/>
  <c r="L59" i="5"/>
  <c r="L60" i="5"/>
  <c r="L62" i="5"/>
  <c r="L63" i="5"/>
  <c r="L77" i="5"/>
  <c r="I36" i="10"/>
  <c r="J36" i="10"/>
  <c r="J35" i="10" s="1"/>
  <c r="I35" i="10"/>
  <c r="I34" i="10"/>
  <c r="I33" i="10"/>
  <c r="I31" i="10"/>
  <c r="I30" i="10"/>
  <c r="I29" i="10"/>
  <c r="I28" i="10"/>
  <c r="L9" i="22"/>
  <c r="L10" i="22"/>
  <c r="L11" i="22"/>
  <c r="L12" i="22"/>
  <c r="L13" i="22"/>
  <c r="L14" i="22"/>
  <c r="L15" i="22"/>
  <c r="N9" i="22"/>
  <c r="N10" i="22"/>
  <c r="N11" i="22"/>
  <c r="N12" i="22"/>
  <c r="N13" i="22"/>
  <c r="N14" i="22"/>
  <c r="N15" i="22"/>
  <c r="N8" i="22"/>
  <c r="M8" i="22"/>
  <c r="J28" i="5"/>
  <c r="J32" i="5"/>
  <c r="J33" i="5"/>
  <c r="J34" i="5"/>
  <c r="J35" i="5"/>
  <c r="J36" i="5"/>
  <c r="J37" i="5"/>
  <c r="J41" i="5"/>
  <c r="J44" i="5"/>
  <c r="M29" i="21"/>
  <c r="W29" i="21" s="1"/>
  <c r="M105" i="21"/>
  <c r="W105" i="21" s="1"/>
  <c r="I81" i="18"/>
  <c r="U81" i="18" s="1"/>
  <c r="O212" i="21"/>
  <c r="M216" i="21"/>
  <c r="AF146" i="21" l="1"/>
  <c r="P106" i="21"/>
  <c r="I32" i="10" s="1"/>
  <c r="Q29" i="5"/>
  <c r="N216" i="21"/>
  <c r="V216" i="21" s="1"/>
  <c r="L76" i="5"/>
  <c r="M190" i="21"/>
  <c r="W190" i="21" s="1"/>
  <c r="M179" i="21"/>
  <c r="W179" i="21" s="1"/>
  <c r="I224" i="18"/>
  <c r="I54" i="18"/>
  <c r="U54" i="18" s="1"/>
  <c r="H76" i="5"/>
  <c r="H75" i="5" s="1"/>
  <c r="H15" i="22"/>
  <c r="H50" i="5"/>
  <c r="Q50" i="5" s="1"/>
  <c r="I219" i="18"/>
  <c r="I211" i="18"/>
  <c r="U211" i="18" s="1"/>
  <c r="I71" i="18"/>
  <c r="U71" i="18" s="1"/>
  <c r="M22" i="21"/>
  <c r="W22" i="21" s="1"/>
  <c r="M33" i="21"/>
  <c r="W33" i="21" s="1"/>
  <c r="I73" i="18"/>
  <c r="U73" i="18" s="1"/>
  <c r="I149" i="18"/>
  <c r="M151" i="21"/>
  <c r="W151" i="21" s="1"/>
  <c r="M150" i="21"/>
  <c r="W150" i="21" s="1"/>
  <c r="N18" i="21"/>
  <c r="V18" i="21" s="1"/>
  <c r="M17" i="21"/>
  <c r="W17" i="21" s="1"/>
  <c r="M182" i="21"/>
  <c r="W182" i="21" s="1"/>
  <c r="I210" i="18"/>
  <c r="U210" i="18" s="1"/>
  <c r="I61" i="18"/>
  <c r="U61" i="18" s="1"/>
  <c r="I131" i="18"/>
  <c r="U131" i="18" s="1"/>
  <c r="I132" i="18"/>
  <c r="U132" i="18" s="1"/>
  <c r="I79" i="18"/>
  <c r="U79" i="18" s="1"/>
  <c r="I15" i="18"/>
  <c r="I205" i="18"/>
  <c r="I165" i="18"/>
  <c r="I31" i="18"/>
  <c r="U31" i="18" s="1"/>
  <c r="I29" i="18"/>
  <c r="U29" i="18" s="1"/>
  <c r="J214" i="18"/>
  <c r="U214" i="18" s="1"/>
  <c r="H37" i="5"/>
  <c r="Q37" i="5" s="1"/>
  <c r="J13" i="22"/>
  <c r="H69" i="5"/>
  <c r="Q69" i="5" s="1"/>
  <c r="H65" i="5"/>
  <c r="Q65" i="5" s="1"/>
  <c r="H66" i="5"/>
  <c r="Q66" i="5" s="1"/>
  <c r="H67" i="5"/>
  <c r="Q67" i="5" s="1"/>
  <c r="H70" i="5"/>
  <c r="Q70" i="5" s="1"/>
  <c r="Q2" i="18"/>
  <c r="V28" i="10"/>
  <c r="M206" i="21"/>
  <c r="W206" i="21" s="1"/>
  <c r="M205" i="21"/>
  <c r="W205" i="21" s="1"/>
  <c r="M199" i="21"/>
  <c r="W199" i="21" s="1"/>
  <c r="M198" i="21"/>
  <c r="W198" i="21" s="1"/>
  <c r="M197" i="21"/>
  <c r="W197" i="21" s="1"/>
  <c r="M158" i="21"/>
  <c r="W158" i="21" s="1"/>
  <c r="M157" i="21"/>
  <c r="W157" i="21" s="1"/>
  <c r="M144" i="21"/>
  <c r="W144" i="21" s="1"/>
  <c r="M83" i="21"/>
  <c r="W83" i="21" s="1"/>
  <c r="M63" i="21"/>
  <c r="W63" i="21" s="1"/>
  <c r="M61" i="21"/>
  <c r="W61" i="21" s="1"/>
  <c r="M59" i="21"/>
  <c r="W59" i="21" s="1"/>
  <c r="M50" i="21"/>
  <c r="W50" i="21" s="1"/>
  <c r="M40" i="21"/>
  <c r="M15" i="21"/>
  <c r="W15" i="21" s="1"/>
  <c r="I154" i="18"/>
  <c r="M177" i="21"/>
  <c r="W177" i="21" s="1"/>
  <c r="M103" i="21"/>
  <c r="W103" i="21" s="1"/>
  <c r="M32" i="21"/>
  <c r="W32" i="21" s="1"/>
  <c r="M87" i="21"/>
  <c r="W87" i="21" s="1"/>
  <c r="M138" i="21"/>
  <c r="M84" i="21"/>
  <c r="W84" i="21" s="1"/>
  <c r="M145" i="21"/>
  <c r="W145" i="21" s="1"/>
  <c r="I145" i="18"/>
  <c r="I226" i="18"/>
  <c r="U226" i="18" s="1"/>
  <c r="I230" i="18"/>
  <c r="U230" i="18" s="1"/>
  <c r="G23" i="10"/>
  <c r="D23" i="10"/>
  <c r="L75" i="5"/>
  <c r="J23" i="10" s="1"/>
  <c r="C23" i="10"/>
  <c r="K145" i="18"/>
  <c r="M38" i="21"/>
  <c r="W38" i="21" s="1"/>
  <c r="M19" i="21"/>
  <c r="W19" i="21" s="1"/>
  <c r="I228" i="18"/>
  <c r="U228" i="18" s="1"/>
  <c r="H68" i="5"/>
  <c r="Q68" i="5" s="1"/>
  <c r="O220" i="21"/>
  <c r="O221" i="21"/>
  <c r="N213" i="21"/>
  <c r="V213" i="21" s="1"/>
  <c r="K52" i="5"/>
  <c r="L52" i="5" s="1"/>
  <c r="M56" i="21"/>
  <c r="I199" i="18"/>
  <c r="I160" i="18"/>
  <c r="U160" i="18" s="1"/>
  <c r="I167" i="18"/>
  <c r="U167" i="18" s="1"/>
  <c r="I70" i="18"/>
  <c r="U70" i="18" s="1"/>
  <c r="I159" i="18"/>
  <c r="U159" i="18" s="1"/>
  <c r="I209" i="18"/>
  <c r="U209" i="18" s="1"/>
  <c r="I78" i="18"/>
  <c r="U78" i="18" s="1"/>
  <c r="I189" i="18"/>
  <c r="I195" i="18"/>
  <c r="M175" i="21"/>
  <c r="W175" i="21" s="1"/>
  <c r="M67" i="21"/>
  <c r="W67" i="21" s="1"/>
  <c r="M96" i="21"/>
  <c r="W96" i="21" s="1"/>
  <c r="M194" i="21"/>
  <c r="W194" i="21" s="1"/>
  <c r="M62" i="21"/>
  <c r="W62" i="21" s="1"/>
  <c r="M147" i="21"/>
  <c r="W147" i="21" s="1"/>
  <c r="M71" i="21"/>
  <c r="W71" i="21" s="1"/>
  <c r="M68" i="21"/>
  <c r="W68" i="21" s="1"/>
  <c r="M48" i="21"/>
  <c r="W48" i="21" s="1"/>
  <c r="M21" i="21"/>
  <c r="W21" i="21" s="1"/>
  <c r="H51" i="5"/>
  <c r="Q51" i="5" s="1"/>
  <c r="H52" i="5"/>
  <c r="Q52" i="5" s="1"/>
  <c r="H57" i="5"/>
  <c r="Q57" i="5" s="1"/>
  <c r="J52" i="5"/>
  <c r="H11" i="22"/>
  <c r="H12" i="22"/>
  <c r="H14" i="22"/>
  <c r="H9" i="22"/>
  <c r="I243" i="18"/>
  <c r="U243" i="18" s="1"/>
  <c r="I175" i="18"/>
  <c r="I170" i="18"/>
  <c r="U170" i="18" s="1"/>
  <c r="I169" i="18"/>
  <c r="U169" i="18" s="1"/>
  <c r="I241" i="18"/>
  <c r="U241" i="18" s="1"/>
  <c r="M196" i="21"/>
  <c r="W196" i="21" s="1"/>
  <c r="M203" i="21"/>
  <c r="W203" i="21" s="1"/>
  <c r="M174" i="21"/>
  <c r="W174" i="21" s="1"/>
  <c r="M171" i="21"/>
  <c r="W171" i="21" s="1"/>
  <c r="M172" i="21"/>
  <c r="W172" i="21" s="1"/>
  <c r="M170" i="21"/>
  <c r="W170" i="21" s="1"/>
  <c r="M162" i="21"/>
  <c r="W162" i="21" s="1"/>
  <c r="R90" i="18"/>
  <c r="S90" i="18"/>
  <c r="Q90" i="18"/>
  <c r="R25" i="18"/>
  <c r="Q10" i="18"/>
  <c r="D35" i="10"/>
  <c r="J10" i="22"/>
  <c r="J11" i="22"/>
  <c r="J12" i="22"/>
  <c r="J14" i="22"/>
  <c r="J15" i="22"/>
  <c r="J9" i="22"/>
  <c r="G8" i="22"/>
  <c r="E36" i="10" s="1"/>
  <c r="E35" i="10" s="1"/>
  <c r="F8" i="22"/>
  <c r="C36" i="10" s="1"/>
  <c r="C35" i="10" s="1"/>
  <c r="F215" i="21"/>
  <c r="D34" i="10" s="1"/>
  <c r="G215" i="21"/>
  <c r="H215" i="21"/>
  <c r="I215" i="21"/>
  <c r="J215" i="21"/>
  <c r="K215" i="21"/>
  <c r="L215" i="21"/>
  <c r="M215" i="21"/>
  <c r="E215" i="21"/>
  <c r="C34" i="10" s="1"/>
  <c r="O214" i="21"/>
  <c r="O217" i="21"/>
  <c r="O218" i="21"/>
  <c r="O219" i="21"/>
  <c r="F211" i="21"/>
  <c r="D33" i="10" s="1"/>
  <c r="G211" i="21"/>
  <c r="H211" i="21"/>
  <c r="I211" i="21"/>
  <c r="J211" i="21"/>
  <c r="K211" i="21"/>
  <c r="L211" i="21"/>
  <c r="E211" i="21"/>
  <c r="C33" i="10" s="1"/>
  <c r="H11" i="21"/>
  <c r="I11" i="21"/>
  <c r="J11" i="21"/>
  <c r="K11" i="21"/>
  <c r="H14" i="21"/>
  <c r="I14" i="21"/>
  <c r="J14" i="21"/>
  <c r="K14" i="21"/>
  <c r="H16" i="21"/>
  <c r="I16" i="21"/>
  <c r="J16" i="21"/>
  <c r="K16" i="21"/>
  <c r="H20" i="21"/>
  <c r="I20" i="21"/>
  <c r="J20" i="21"/>
  <c r="K20" i="21"/>
  <c r="H24" i="21"/>
  <c r="I24" i="21"/>
  <c r="J24" i="21"/>
  <c r="K24" i="21"/>
  <c r="H27" i="21"/>
  <c r="I27" i="21"/>
  <c r="J27" i="21"/>
  <c r="K27" i="21"/>
  <c r="H31" i="21"/>
  <c r="I31" i="21"/>
  <c r="J31" i="21"/>
  <c r="K31" i="21"/>
  <c r="H35" i="21"/>
  <c r="I35" i="21"/>
  <c r="J35" i="21"/>
  <c r="K35" i="21"/>
  <c r="H39" i="21"/>
  <c r="I39" i="21"/>
  <c r="J39" i="21"/>
  <c r="K39" i="21"/>
  <c r="H42" i="21"/>
  <c r="I42" i="21"/>
  <c r="J42" i="21"/>
  <c r="K42" i="21"/>
  <c r="H45" i="21"/>
  <c r="I45" i="21"/>
  <c r="J45" i="21"/>
  <c r="K45" i="21"/>
  <c r="H49" i="21"/>
  <c r="I49" i="21"/>
  <c r="J49" i="21"/>
  <c r="K49" i="21"/>
  <c r="H52" i="21"/>
  <c r="I52" i="21"/>
  <c r="J52" i="21"/>
  <c r="K52" i="21"/>
  <c r="H102" i="21"/>
  <c r="I102" i="21"/>
  <c r="J102" i="21"/>
  <c r="K102" i="21"/>
  <c r="H104" i="21"/>
  <c r="I104" i="21"/>
  <c r="J104" i="21"/>
  <c r="K104" i="21"/>
  <c r="H108" i="21"/>
  <c r="I108" i="21"/>
  <c r="J108" i="21"/>
  <c r="K108" i="21"/>
  <c r="H120" i="21"/>
  <c r="I120" i="21"/>
  <c r="J120" i="21"/>
  <c r="K120" i="21"/>
  <c r="H132" i="21"/>
  <c r="I132" i="21"/>
  <c r="J132" i="21"/>
  <c r="K132" i="21"/>
  <c r="H143" i="21"/>
  <c r="H142" i="21" s="1"/>
  <c r="I143" i="21"/>
  <c r="I142" i="21" s="1"/>
  <c r="J143" i="21"/>
  <c r="J142" i="21" s="1"/>
  <c r="K143" i="21"/>
  <c r="K142" i="21" s="1"/>
  <c r="H185" i="21"/>
  <c r="H184" i="21" s="1"/>
  <c r="I185" i="21"/>
  <c r="I184" i="21" s="1"/>
  <c r="J185" i="21"/>
  <c r="J184" i="21" s="1"/>
  <c r="K185" i="21"/>
  <c r="K184" i="21" s="1"/>
  <c r="H191" i="21"/>
  <c r="I191" i="21"/>
  <c r="J191" i="21"/>
  <c r="K191" i="21"/>
  <c r="H207" i="21"/>
  <c r="I207" i="21"/>
  <c r="J207" i="21"/>
  <c r="K207" i="21"/>
  <c r="K13" i="18"/>
  <c r="K15" i="18"/>
  <c r="K16" i="18"/>
  <c r="K17" i="18"/>
  <c r="K20" i="18"/>
  <c r="K22" i="18"/>
  <c r="K34" i="18"/>
  <c r="K39" i="18"/>
  <c r="K40" i="18"/>
  <c r="K43" i="18"/>
  <c r="K46" i="18"/>
  <c r="K48" i="18"/>
  <c r="K49" i="18"/>
  <c r="K51" i="18"/>
  <c r="K69" i="18"/>
  <c r="K70" i="18"/>
  <c r="K71" i="18"/>
  <c r="K72" i="18"/>
  <c r="K73" i="18"/>
  <c r="K74" i="18"/>
  <c r="K75" i="18"/>
  <c r="K76" i="18"/>
  <c r="K77" i="18"/>
  <c r="K78" i="18"/>
  <c r="K79" i="18"/>
  <c r="K80" i="18"/>
  <c r="K81" i="18"/>
  <c r="K82" i="18"/>
  <c r="K83" i="18"/>
  <c r="K84" i="18"/>
  <c r="K87" i="18"/>
  <c r="K93" i="18"/>
  <c r="K94" i="18"/>
  <c r="K95" i="18"/>
  <c r="K96" i="18"/>
  <c r="K97" i="18"/>
  <c r="K98" i="18"/>
  <c r="K99" i="18"/>
  <c r="K100" i="18"/>
  <c r="K101" i="18"/>
  <c r="K102" i="18"/>
  <c r="K103" i="18"/>
  <c r="K104" i="18"/>
  <c r="K106" i="18"/>
  <c r="K107" i="18"/>
  <c r="K108" i="18"/>
  <c r="K109" i="18"/>
  <c r="K110" i="18"/>
  <c r="K111" i="18"/>
  <c r="K112" i="18"/>
  <c r="K113" i="18"/>
  <c r="K114" i="18"/>
  <c r="K115" i="18"/>
  <c r="K116" i="18"/>
  <c r="K118" i="18"/>
  <c r="K119" i="18"/>
  <c r="K120" i="18"/>
  <c r="K121" i="18"/>
  <c r="K122" i="18"/>
  <c r="K123" i="18"/>
  <c r="K124" i="18"/>
  <c r="K127" i="18"/>
  <c r="K128" i="18"/>
  <c r="K129" i="18"/>
  <c r="K131" i="18"/>
  <c r="K132" i="18"/>
  <c r="K133" i="18"/>
  <c r="K137" i="18"/>
  <c r="K138" i="18"/>
  <c r="K140" i="18"/>
  <c r="K141" i="18"/>
  <c r="K148" i="18"/>
  <c r="K149" i="18"/>
  <c r="K151" i="18"/>
  <c r="K152" i="18"/>
  <c r="K153" i="18"/>
  <c r="K154" i="18"/>
  <c r="K157" i="18"/>
  <c r="K159" i="18"/>
  <c r="K160" i="18"/>
  <c r="K161" i="18"/>
  <c r="K164" i="18"/>
  <c r="K165" i="18"/>
  <c r="K167" i="18"/>
  <c r="K168" i="18"/>
  <c r="K169" i="18"/>
  <c r="K170" i="18"/>
  <c r="K173" i="18"/>
  <c r="K175" i="18"/>
  <c r="K176" i="18"/>
  <c r="K179" i="18"/>
  <c r="K182" i="18"/>
  <c r="K183" i="18"/>
  <c r="K186" i="18"/>
  <c r="K187" i="18"/>
  <c r="K189" i="18"/>
  <c r="K190" i="18"/>
  <c r="K193" i="18"/>
  <c r="K195" i="18"/>
  <c r="K196" i="18"/>
  <c r="K199" i="18"/>
  <c r="K200" i="18"/>
  <c r="K203" i="18"/>
  <c r="K205" i="18"/>
  <c r="K206" i="18"/>
  <c r="K209" i="18"/>
  <c r="K210" i="18"/>
  <c r="K211" i="18"/>
  <c r="K215" i="18"/>
  <c r="K216" i="18"/>
  <c r="K218" i="18"/>
  <c r="K219" i="18"/>
  <c r="K223" i="18"/>
  <c r="K224" i="18"/>
  <c r="K226" i="18"/>
  <c r="K228" i="18"/>
  <c r="K229" i="18"/>
  <c r="K230" i="18"/>
  <c r="K234" i="18"/>
  <c r="K235" i="18"/>
  <c r="K236" i="18"/>
  <c r="K237" i="18"/>
  <c r="K238" i="18"/>
  <c r="K241" i="18"/>
  <c r="K243" i="18"/>
  <c r="K248" i="18"/>
  <c r="O12" i="21"/>
  <c r="O13" i="21"/>
  <c r="O15" i="21"/>
  <c r="O17" i="21"/>
  <c r="O19" i="21"/>
  <c r="O21" i="21"/>
  <c r="O22" i="21"/>
  <c r="O23" i="21"/>
  <c r="O25" i="21"/>
  <c r="O26" i="21"/>
  <c r="O28" i="21"/>
  <c r="O29" i="21"/>
  <c r="O30" i="21"/>
  <c r="O32" i="21"/>
  <c r="O33" i="21"/>
  <c r="O34" i="21"/>
  <c r="O36" i="21"/>
  <c r="O37" i="21"/>
  <c r="O38" i="21"/>
  <c r="O40" i="21"/>
  <c r="O41" i="21"/>
  <c r="O43" i="21"/>
  <c r="O44" i="21"/>
  <c r="O46" i="21"/>
  <c r="O47" i="21"/>
  <c r="O48" i="21"/>
  <c r="O50" i="21"/>
  <c r="O54" i="21"/>
  <c r="O55" i="21"/>
  <c r="O56" i="21"/>
  <c r="O57" i="21"/>
  <c r="O58" i="21"/>
  <c r="O59" i="21"/>
  <c r="O60" i="21"/>
  <c r="O61" i="21"/>
  <c r="O62" i="21"/>
  <c r="O63" i="21"/>
  <c r="O64" i="21"/>
  <c r="O65" i="21"/>
  <c r="O66" i="21"/>
  <c r="O67" i="21"/>
  <c r="O68" i="21"/>
  <c r="O69" i="21"/>
  <c r="O70" i="21"/>
  <c r="O71" i="21"/>
  <c r="O72" i="21"/>
  <c r="O74" i="21"/>
  <c r="O75" i="21"/>
  <c r="O76" i="21"/>
  <c r="O77" i="21"/>
  <c r="O78" i="21"/>
  <c r="O79" i="21"/>
  <c r="O80" i="21"/>
  <c r="O81" i="21"/>
  <c r="O82" i="21"/>
  <c r="O83" i="21"/>
  <c r="O84" i="21"/>
  <c r="O85" i="21"/>
  <c r="O86" i="21"/>
  <c r="O87" i="21"/>
  <c r="O88" i="21"/>
  <c r="O89" i="21"/>
  <c r="O90" i="21"/>
  <c r="O91" i="21"/>
  <c r="O92" i="21"/>
  <c r="O93" i="21"/>
  <c r="O94" i="21"/>
  <c r="O95" i="21"/>
  <c r="O96" i="21"/>
  <c r="O97" i="21"/>
  <c r="O98" i="21"/>
  <c r="O103" i="21"/>
  <c r="O105" i="21"/>
  <c r="O109" i="21"/>
  <c r="O110" i="21"/>
  <c r="O111" i="21"/>
  <c r="O112" i="21"/>
  <c r="O113" i="21"/>
  <c r="O114" i="21"/>
  <c r="O116" i="21"/>
  <c r="O117" i="21"/>
  <c r="O118" i="21"/>
  <c r="O119" i="21"/>
  <c r="O121" i="21"/>
  <c r="O122" i="21"/>
  <c r="O123" i="21"/>
  <c r="O124" i="21"/>
  <c r="O125" i="21"/>
  <c r="O126" i="21"/>
  <c r="O127" i="21"/>
  <c r="O128" i="21"/>
  <c r="O129" i="21"/>
  <c r="O130" i="21"/>
  <c r="O131" i="21"/>
  <c r="O138" i="21"/>
  <c r="O139" i="21"/>
  <c r="O140" i="21"/>
  <c r="O144" i="21"/>
  <c r="O145" i="21"/>
  <c r="O147" i="21"/>
  <c r="O148" i="21"/>
  <c r="O149" i="21"/>
  <c r="O150" i="21"/>
  <c r="O151" i="21"/>
  <c r="O152" i="21"/>
  <c r="O153" i="21"/>
  <c r="O154" i="21"/>
  <c r="O155" i="21"/>
  <c r="O156" i="21"/>
  <c r="O157" i="21"/>
  <c r="O158" i="21"/>
  <c r="O159" i="21"/>
  <c r="O160" i="21"/>
  <c r="O161" i="21"/>
  <c r="O162" i="21"/>
  <c r="O163" i="21"/>
  <c r="O164" i="21"/>
  <c r="O166" i="21"/>
  <c r="O167" i="21"/>
  <c r="O168" i="21"/>
  <c r="O169" i="21"/>
  <c r="O170" i="21"/>
  <c r="O171" i="21"/>
  <c r="O172" i="21"/>
  <c r="O173" i="21"/>
  <c r="O174" i="21"/>
  <c r="O175" i="21"/>
  <c r="O177" i="21"/>
  <c r="O178" i="21"/>
  <c r="O179" i="21"/>
  <c r="O180" i="21"/>
  <c r="O181" i="21"/>
  <c r="O182" i="21"/>
  <c r="O186" i="21"/>
  <c r="O189" i="21"/>
  <c r="O190" i="21"/>
  <c r="O192" i="21"/>
  <c r="O194" i="21"/>
  <c r="O195" i="21"/>
  <c r="O196" i="21"/>
  <c r="O197" i="21"/>
  <c r="O198" i="21"/>
  <c r="O199" i="21"/>
  <c r="O200" i="21"/>
  <c r="O201" i="21"/>
  <c r="O202" i="21"/>
  <c r="O203" i="21"/>
  <c r="O204" i="21"/>
  <c r="O205" i="21"/>
  <c r="O206" i="21"/>
  <c r="M95" i="21"/>
  <c r="W95" i="21" s="1"/>
  <c r="M92" i="21"/>
  <c r="W92" i="21" s="1"/>
  <c r="M140" i="21"/>
  <c r="W140" i="21" s="1"/>
  <c r="M156" i="21"/>
  <c r="W156" i="21" s="1"/>
  <c r="M160" i="21"/>
  <c r="W160" i="21" s="1"/>
  <c r="M155" i="21"/>
  <c r="W155" i="21" s="1"/>
  <c r="M154" i="21"/>
  <c r="W154" i="21" s="1"/>
  <c r="M153" i="21"/>
  <c r="W153" i="21" s="1"/>
  <c r="M152" i="21"/>
  <c r="W152" i="21" s="1"/>
  <c r="M195" i="21"/>
  <c r="W195" i="21" s="1"/>
  <c r="M161" i="21"/>
  <c r="W161" i="21" s="1"/>
  <c r="M204" i="21"/>
  <c r="W204" i="21" s="1"/>
  <c r="M159" i="21"/>
  <c r="W159" i="21" s="1"/>
  <c r="M180" i="21"/>
  <c r="W180" i="21" s="1"/>
  <c r="M23" i="21"/>
  <c r="W23" i="21" s="1"/>
  <c r="M28" i="21"/>
  <c r="W28" i="21" s="1"/>
  <c r="M41" i="21"/>
  <c r="W41" i="21" s="1"/>
  <c r="F207" i="21"/>
  <c r="L207" i="21"/>
  <c r="M207" i="21"/>
  <c r="F191" i="21"/>
  <c r="G191" i="21"/>
  <c r="L191" i="21"/>
  <c r="N191" i="21"/>
  <c r="F185" i="21"/>
  <c r="F184" i="21" s="1"/>
  <c r="G185" i="21"/>
  <c r="L185" i="21"/>
  <c r="N185" i="21"/>
  <c r="Q146" i="21"/>
  <c r="F143" i="21"/>
  <c r="F142" i="21" s="1"/>
  <c r="G143" i="21"/>
  <c r="L143" i="21"/>
  <c r="N143" i="21"/>
  <c r="F132" i="21"/>
  <c r="G132" i="21"/>
  <c r="L132" i="21"/>
  <c r="M132" i="21"/>
  <c r="N132" i="21"/>
  <c r="F120" i="21"/>
  <c r="G120" i="21"/>
  <c r="L120" i="21"/>
  <c r="AF120" i="21" s="1"/>
  <c r="M120" i="21"/>
  <c r="N120" i="21"/>
  <c r="F108" i="21"/>
  <c r="G108" i="21"/>
  <c r="L108" i="21"/>
  <c r="M108" i="21"/>
  <c r="N108" i="21"/>
  <c r="N104" i="21"/>
  <c r="F104" i="21"/>
  <c r="G104" i="21"/>
  <c r="L104" i="21"/>
  <c r="M104" i="21"/>
  <c r="W104" i="21" s="1"/>
  <c r="F102" i="21"/>
  <c r="G102" i="21"/>
  <c r="L102" i="21"/>
  <c r="N102" i="21"/>
  <c r="F52" i="21"/>
  <c r="G52" i="21"/>
  <c r="AF53" i="21"/>
  <c r="F49" i="21"/>
  <c r="G49" i="21"/>
  <c r="L49" i="21"/>
  <c r="N49" i="21"/>
  <c r="F45" i="21"/>
  <c r="G45" i="21"/>
  <c r="L45" i="21"/>
  <c r="N45" i="21"/>
  <c r="F42" i="21"/>
  <c r="G42" i="21"/>
  <c r="L42" i="21"/>
  <c r="M42" i="21"/>
  <c r="N42" i="21"/>
  <c r="F39" i="21"/>
  <c r="G39" i="21"/>
  <c r="L39" i="21"/>
  <c r="N39" i="21"/>
  <c r="F35" i="21"/>
  <c r="G35" i="21"/>
  <c r="L35" i="21"/>
  <c r="N35" i="21"/>
  <c r="F31" i="21"/>
  <c r="G31" i="21"/>
  <c r="L31" i="21"/>
  <c r="N31" i="21"/>
  <c r="F27" i="21"/>
  <c r="G27" i="21"/>
  <c r="L27" i="21"/>
  <c r="N27" i="21"/>
  <c r="F24" i="21"/>
  <c r="G24" i="21"/>
  <c r="L24" i="21"/>
  <c r="M24" i="21"/>
  <c r="N24" i="21"/>
  <c r="F20" i="21"/>
  <c r="G20" i="21"/>
  <c r="L20" i="21"/>
  <c r="N20" i="21"/>
  <c r="F16" i="21"/>
  <c r="G16" i="21"/>
  <c r="L16" i="21"/>
  <c r="F14" i="21"/>
  <c r="G14" i="21"/>
  <c r="L14" i="21"/>
  <c r="N14" i="21"/>
  <c r="F11" i="21"/>
  <c r="G11" i="21"/>
  <c r="L11" i="21"/>
  <c r="M11" i="21"/>
  <c r="N11" i="21"/>
  <c r="H65" i="19"/>
  <c r="E11" i="21"/>
  <c r="E14" i="21"/>
  <c r="E16" i="21"/>
  <c r="E20" i="21"/>
  <c r="E24" i="21"/>
  <c r="E27" i="21"/>
  <c r="E31" i="21"/>
  <c r="E35" i="21"/>
  <c r="E39" i="21"/>
  <c r="E42" i="21"/>
  <c r="E45" i="21"/>
  <c r="E49" i="21"/>
  <c r="E52" i="21"/>
  <c r="A55" i="21"/>
  <c r="A56" i="21" s="1"/>
  <c r="A58" i="2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8" i="21"/>
  <c r="E102" i="21"/>
  <c r="E104" i="21"/>
  <c r="E108" i="21"/>
  <c r="E120" i="21"/>
  <c r="E132" i="21"/>
  <c r="E143" i="21"/>
  <c r="E142" i="21" s="1"/>
  <c r="E159" i="21"/>
  <c r="E146" i="21" s="1"/>
  <c r="E184" i="21"/>
  <c r="E191" i="21"/>
  <c r="N208" i="21"/>
  <c r="O208" i="21" s="1"/>
  <c r="G208" i="21"/>
  <c r="E208" i="21"/>
  <c r="E207" i="21" s="1"/>
  <c r="U106" i="21"/>
  <c r="T106" i="21"/>
  <c r="U53" i="21"/>
  <c r="T53" i="21"/>
  <c r="J50" i="5"/>
  <c r="J51" i="5"/>
  <c r="J57" i="5"/>
  <c r="J59" i="5"/>
  <c r="J60" i="5"/>
  <c r="J62" i="5"/>
  <c r="J63" i="5"/>
  <c r="J70" i="5"/>
  <c r="J65" i="5"/>
  <c r="J66" i="5"/>
  <c r="J67" i="5"/>
  <c r="J68" i="5"/>
  <c r="J69" i="5"/>
  <c r="J71" i="5"/>
  <c r="L241" i="18"/>
  <c r="M241" i="18" s="1"/>
  <c r="L243" i="18"/>
  <c r="M243" i="18" s="1"/>
  <c r="L240" i="18"/>
  <c r="L234" i="18"/>
  <c r="M234" i="18" s="1"/>
  <c r="L235" i="18"/>
  <c r="M235" i="18" s="1"/>
  <c r="L236" i="18"/>
  <c r="M236" i="18" s="1"/>
  <c r="L237" i="18"/>
  <c r="M237" i="18" s="1"/>
  <c r="L238" i="18"/>
  <c r="L233" i="18"/>
  <c r="M233" i="18" s="1"/>
  <c r="L228" i="18"/>
  <c r="L229" i="18"/>
  <c r="M229" i="18" s="1"/>
  <c r="L230" i="18"/>
  <c r="M230" i="18" s="1"/>
  <c r="L226" i="18"/>
  <c r="M226" i="18" s="1"/>
  <c r="L224" i="18"/>
  <c r="M224" i="18" s="1"/>
  <c r="L223" i="18"/>
  <c r="M223" i="18" s="1"/>
  <c r="L219" i="18"/>
  <c r="M219" i="18" s="1"/>
  <c r="L218" i="18"/>
  <c r="M218" i="18" s="1"/>
  <c r="L215" i="18"/>
  <c r="M215" i="18" s="1"/>
  <c r="L216" i="18"/>
  <c r="M216" i="18" s="1"/>
  <c r="L214" i="18"/>
  <c r="M214" i="18" s="1"/>
  <c r="L210" i="18"/>
  <c r="M210" i="18" s="1"/>
  <c r="L211" i="18"/>
  <c r="L209" i="18"/>
  <c r="M209" i="18" s="1"/>
  <c r="L206" i="18"/>
  <c r="M206" i="18" s="1"/>
  <c r="L205" i="18"/>
  <c r="M205" i="18" s="1"/>
  <c r="L203" i="18"/>
  <c r="F202" i="18"/>
  <c r="G202" i="18"/>
  <c r="H202" i="18"/>
  <c r="I202" i="18"/>
  <c r="J202" i="18"/>
  <c r="E202" i="18"/>
  <c r="L200" i="18"/>
  <c r="M200" i="18" s="1"/>
  <c r="L199" i="18"/>
  <c r="L196" i="18"/>
  <c r="L195" i="18"/>
  <c r="M195" i="18" s="1"/>
  <c r="L193" i="18"/>
  <c r="F192" i="18"/>
  <c r="G192" i="18"/>
  <c r="H192" i="18"/>
  <c r="I192" i="18"/>
  <c r="J192" i="18"/>
  <c r="E192" i="18"/>
  <c r="L190" i="18"/>
  <c r="M190" i="18" s="1"/>
  <c r="L189" i="18"/>
  <c r="L187" i="18"/>
  <c r="M187" i="18" s="1"/>
  <c r="L186" i="18"/>
  <c r="M186" i="18" s="1"/>
  <c r="L183" i="18"/>
  <c r="M183" i="18" s="1"/>
  <c r="L182" i="18"/>
  <c r="M182" i="18" s="1"/>
  <c r="L180" i="18"/>
  <c r="L179" i="18"/>
  <c r="L176" i="18"/>
  <c r="M176" i="18" s="1"/>
  <c r="L175" i="18"/>
  <c r="M175" i="18" s="1"/>
  <c r="L173" i="18"/>
  <c r="M173" i="18" s="1"/>
  <c r="F172" i="18"/>
  <c r="G172" i="18"/>
  <c r="H172" i="18"/>
  <c r="I172" i="18"/>
  <c r="J172" i="18"/>
  <c r="E172" i="18"/>
  <c r="L168" i="18"/>
  <c r="M168" i="18" s="1"/>
  <c r="L169" i="18"/>
  <c r="L170" i="18"/>
  <c r="M170" i="18" s="1"/>
  <c r="L167" i="18"/>
  <c r="M167" i="18" s="1"/>
  <c r="L165" i="18"/>
  <c r="M165" i="18" s="1"/>
  <c r="L164" i="18"/>
  <c r="M164" i="18" s="1"/>
  <c r="L160" i="18"/>
  <c r="M160" i="18" s="1"/>
  <c r="L161" i="18"/>
  <c r="M161" i="18" s="1"/>
  <c r="L159" i="18"/>
  <c r="M159" i="18" s="1"/>
  <c r="L157" i="18"/>
  <c r="L152" i="18"/>
  <c r="M152" i="18" s="1"/>
  <c r="L153" i="18"/>
  <c r="M153" i="18" s="1"/>
  <c r="L154" i="18"/>
  <c r="M154" i="18" s="1"/>
  <c r="L151" i="18"/>
  <c r="M151" i="18" s="1"/>
  <c r="L149" i="18"/>
  <c r="M149" i="18" s="1"/>
  <c r="L148" i="18"/>
  <c r="M148" i="18" s="1"/>
  <c r="L145" i="18"/>
  <c r="F144" i="18"/>
  <c r="F143" i="18" s="1"/>
  <c r="G144" i="18"/>
  <c r="G143" i="18" s="1"/>
  <c r="H144" i="18"/>
  <c r="H143" i="18" s="1"/>
  <c r="J144" i="18"/>
  <c r="E144" i="18"/>
  <c r="E143" i="18" s="1"/>
  <c r="L141" i="18"/>
  <c r="L140" i="18"/>
  <c r="M140" i="18" s="1"/>
  <c r="L138" i="18"/>
  <c r="M138" i="18" s="1"/>
  <c r="L137" i="18"/>
  <c r="M137" i="18" s="1"/>
  <c r="L132" i="18"/>
  <c r="L133" i="18"/>
  <c r="M133" i="18" s="1"/>
  <c r="L131" i="18"/>
  <c r="M131" i="18" s="1"/>
  <c r="L128" i="18"/>
  <c r="M128" i="18" s="1"/>
  <c r="L129" i="18"/>
  <c r="L127" i="18"/>
  <c r="M127" i="18" s="1"/>
  <c r="M119" i="18"/>
  <c r="M120" i="18"/>
  <c r="M121" i="18"/>
  <c r="M122" i="18"/>
  <c r="M123" i="18"/>
  <c r="M124" i="18"/>
  <c r="M118" i="18"/>
  <c r="M107" i="18"/>
  <c r="L108" i="18"/>
  <c r="M108" i="18" s="1"/>
  <c r="L109" i="18"/>
  <c r="M109" i="18" s="1"/>
  <c r="L110" i="18"/>
  <c r="M110" i="18" s="1"/>
  <c r="L111" i="18"/>
  <c r="M111" i="18" s="1"/>
  <c r="L112" i="18"/>
  <c r="M112" i="18" s="1"/>
  <c r="L113" i="18"/>
  <c r="M113" i="18" s="1"/>
  <c r="L114" i="18"/>
  <c r="M114" i="18" s="1"/>
  <c r="L115" i="18"/>
  <c r="M115" i="18" s="1"/>
  <c r="L116" i="18"/>
  <c r="M116" i="18" s="1"/>
  <c r="L106" i="18"/>
  <c r="M106" i="18" s="1"/>
  <c r="M94" i="18"/>
  <c r="M95" i="18"/>
  <c r="M96" i="18"/>
  <c r="M97" i="18"/>
  <c r="M98" i="18"/>
  <c r="M99" i="18"/>
  <c r="M100" i="18"/>
  <c r="M101" i="18"/>
  <c r="M102" i="18"/>
  <c r="M103" i="18"/>
  <c r="M104" i="18"/>
  <c r="L93" i="18"/>
  <c r="M93" i="18" s="1"/>
  <c r="L87" i="18"/>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69" i="18"/>
  <c r="M69" i="18" s="1"/>
  <c r="L34" i="18"/>
  <c r="M34" i="18" s="1"/>
  <c r="L39" i="18"/>
  <c r="M39" i="18" s="1"/>
  <c r="L40" i="18"/>
  <c r="M40" i="18" s="1"/>
  <c r="L43" i="18"/>
  <c r="M43" i="18" s="1"/>
  <c r="L44" i="18"/>
  <c r="L45" i="18"/>
  <c r="L46" i="18"/>
  <c r="M46" i="18" s="1"/>
  <c r="L48" i="18"/>
  <c r="M48" i="18" s="1"/>
  <c r="L49" i="18"/>
  <c r="M49" i="18" s="1"/>
  <c r="L51" i="18"/>
  <c r="M51" i="18" s="1"/>
  <c r="L22" i="18"/>
  <c r="L20" i="18"/>
  <c r="L16" i="18"/>
  <c r="M16" i="18" s="1"/>
  <c r="L17" i="18"/>
  <c r="M17" i="18" s="1"/>
  <c r="L15" i="18"/>
  <c r="M15" i="18" s="1"/>
  <c r="L13" i="18"/>
  <c r="K65" i="5"/>
  <c r="L65" i="5" s="1"/>
  <c r="K66" i="5"/>
  <c r="L66" i="5" s="1"/>
  <c r="K67" i="5"/>
  <c r="L67" i="5" s="1"/>
  <c r="K68" i="5"/>
  <c r="L68" i="5" s="1"/>
  <c r="K69" i="5"/>
  <c r="L69" i="5" s="1"/>
  <c r="K71" i="5"/>
  <c r="L71" i="5" s="1"/>
  <c r="K74" i="5"/>
  <c r="K70" i="5"/>
  <c r="L70" i="5" s="1"/>
  <c r="K51" i="5"/>
  <c r="L51" i="5" s="1"/>
  <c r="K57" i="5"/>
  <c r="K50" i="5"/>
  <c r="L50" i="5" s="1"/>
  <c r="L44" i="5"/>
  <c r="K41" i="5"/>
  <c r="K40" i="5" s="1"/>
  <c r="K33" i="5"/>
  <c r="L33" i="5" s="1"/>
  <c r="K34" i="5"/>
  <c r="L34" i="5" s="1"/>
  <c r="K35" i="5"/>
  <c r="L35" i="5" s="1"/>
  <c r="K36" i="5"/>
  <c r="L36" i="5" s="1"/>
  <c r="K37" i="5"/>
  <c r="L37" i="5" s="1"/>
  <c r="K32" i="5"/>
  <c r="L32" i="5" s="1"/>
  <c r="K29" i="5"/>
  <c r="L29" i="5" s="1"/>
  <c r="K30" i="5"/>
  <c r="L30" i="5" s="1"/>
  <c r="K28" i="5"/>
  <c r="L28" i="5" s="1"/>
  <c r="L11" i="5"/>
  <c r="H43" i="5"/>
  <c r="I43" i="5"/>
  <c r="I49" i="5"/>
  <c r="I39" i="5"/>
  <c r="F247" i="18"/>
  <c r="F246" i="18" s="1"/>
  <c r="F245" i="18" s="1"/>
  <c r="F244" i="18" s="1"/>
  <c r="G247" i="18"/>
  <c r="G246" i="18" s="1"/>
  <c r="G245" i="18" s="1"/>
  <c r="G244" i="18" s="1"/>
  <c r="H247" i="18"/>
  <c r="H246" i="18" s="1"/>
  <c r="H245" i="18" s="1"/>
  <c r="H244" i="18" s="1"/>
  <c r="I247" i="18"/>
  <c r="I246" i="18" s="1"/>
  <c r="I245" i="18" s="1"/>
  <c r="I244" i="18" s="1"/>
  <c r="J247" i="18"/>
  <c r="E247" i="18"/>
  <c r="E246" i="18" s="1"/>
  <c r="E245" i="18" s="1"/>
  <c r="E244" i="18" s="1"/>
  <c r="F239" i="18"/>
  <c r="G239" i="18"/>
  <c r="H239" i="18"/>
  <c r="J239" i="18"/>
  <c r="E239" i="18"/>
  <c r="F232" i="18"/>
  <c r="G232" i="18"/>
  <c r="H232" i="18"/>
  <c r="I232" i="18"/>
  <c r="J232" i="18"/>
  <c r="E232" i="18"/>
  <c r="F225" i="18"/>
  <c r="G225" i="18"/>
  <c r="H225" i="18"/>
  <c r="J225" i="18"/>
  <c r="E225" i="18"/>
  <c r="F222" i="18"/>
  <c r="G222" i="18"/>
  <c r="H222" i="18"/>
  <c r="J222" i="18"/>
  <c r="E222" i="18"/>
  <c r="F217" i="18"/>
  <c r="G217" i="18"/>
  <c r="H217" i="18"/>
  <c r="J217" i="18"/>
  <c r="E217" i="18"/>
  <c r="F213" i="18"/>
  <c r="G213" i="18"/>
  <c r="H213" i="18"/>
  <c r="I213" i="18"/>
  <c r="E213" i="18"/>
  <c r="F208" i="18"/>
  <c r="F207" i="18" s="1"/>
  <c r="G208" i="18"/>
  <c r="G207" i="18" s="1"/>
  <c r="H208" i="18"/>
  <c r="H207" i="18" s="1"/>
  <c r="J208" i="18"/>
  <c r="E208" i="18"/>
  <c r="E207" i="18" s="1"/>
  <c r="F204" i="18"/>
  <c r="G204" i="18"/>
  <c r="H204" i="18"/>
  <c r="J204" i="18"/>
  <c r="E204" i="18"/>
  <c r="F198" i="18"/>
  <c r="F197" i="18" s="1"/>
  <c r="G198" i="18"/>
  <c r="G197" i="18" s="1"/>
  <c r="H198" i="18"/>
  <c r="H197" i="18" s="1"/>
  <c r="J198" i="18"/>
  <c r="E198" i="18"/>
  <c r="E197" i="18" s="1"/>
  <c r="F194" i="18"/>
  <c r="G194" i="18"/>
  <c r="H194" i="18"/>
  <c r="J194" i="18"/>
  <c r="E194" i="18"/>
  <c r="F188" i="18"/>
  <c r="G188" i="18"/>
  <c r="H188" i="18"/>
  <c r="J188" i="18"/>
  <c r="E188" i="18"/>
  <c r="F185" i="18"/>
  <c r="G185" i="18"/>
  <c r="H185" i="18"/>
  <c r="E185" i="18"/>
  <c r="E184" i="18" s="1"/>
  <c r="F181" i="18"/>
  <c r="G181" i="18"/>
  <c r="H181" i="18"/>
  <c r="J181" i="18"/>
  <c r="E181" i="18"/>
  <c r="F178" i="18"/>
  <c r="G178" i="18"/>
  <c r="H178" i="18"/>
  <c r="I178" i="18"/>
  <c r="J178" i="18"/>
  <c r="E178" i="18"/>
  <c r="F174" i="18"/>
  <c r="G174" i="18"/>
  <c r="H174" i="18"/>
  <c r="J174" i="18"/>
  <c r="E174" i="18"/>
  <c r="F166" i="18"/>
  <c r="G166" i="18"/>
  <c r="H166" i="18"/>
  <c r="J166" i="18"/>
  <c r="E166" i="18"/>
  <c r="F163" i="18"/>
  <c r="G163" i="18"/>
  <c r="H163" i="18"/>
  <c r="E163" i="18"/>
  <c r="F158" i="18"/>
  <c r="G158" i="18"/>
  <c r="H158" i="18"/>
  <c r="J158" i="18"/>
  <c r="E158" i="18"/>
  <c r="F156" i="18"/>
  <c r="G156" i="18"/>
  <c r="H156" i="18"/>
  <c r="I156" i="18"/>
  <c r="J156" i="18"/>
  <c r="E156" i="18"/>
  <c r="F150" i="18"/>
  <c r="G150" i="18"/>
  <c r="H150" i="18"/>
  <c r="J150" i="18"/>
  <c r="E150" i="18"/>
  <c r="F147" i="18"/>
  <c r="G147" i="18"/>
  <c r="H147" i="18"/>
  <c r="J147" i="18"/>
  <c r="E147" i="18"/>
  <c r="F139" i="18"/>
  <c r="G139" i="18"/>
  <c r="H139" i="18"/>
  <c r="I139" i="18"/>
  <c r="J139" i="18"/>
  <c r="E139" i="18"/>
  <c r="F136" i="18"/>
  <c r="G136" i="18"/>
  <c r="H136" i="18"/>
  <c r="I136" i="18"/>
  <c r="J136" i="18"/>
  <c r="E136" i="18"/>
  <c r="F130" i="18"/>
  <c r="G130" i="18"/>
  <c r="H130" i="18"/>
  <c r="J130" i="18"/>
  <c r="E130" i="18"/>
  <c r="F126" i="18"/>
  <c r="G126" i="18"/>
  <c r="H126" i="18"/>
  <c r="E126" i="18"/>
  <c r="E125" i="18" s="1"/>
  <c r="F117" i="18"/>
  <c r="G117" i="18"/>
  <c r="H117" i="18"/>
  <c r="I117" i="18"/>
  <c r="J117" i="18"/>
  <c r="E117" i="18"/>
  <c r="F105" i="18"/>
  <c r="G105" i="18"/>
  <c r="H105" i="18"/>
  <c r="E105" i="18"/>
  <c r="F92" i="18"/>
  <c r="G92" i="18"/>
  <c r="H92" i="18"/>
  <c r="E92" i="18"/>
  <c r="F21" i="18"/>
  <c r="F19" i="18"/>
  <c r="F14" i="18"/>
  <c r="F12" i="18"/>
  <c r="F88" i="18"/>
  <c r="F86" i="18"/>
  <c r="F68" i="18"/>
  <c r="F26" i="18"/>
  <c r="T69" i="18"/>
  <c r="T70" i="18"/>
  <c r="T71" i="18"/>
  <c r="T72" i="18"/>
  <c r="T73" i="18"/>
  <c r="T74" i="18"/>
  <c r="T75" i="18"/>
  <c r="T76" i="18"/>
  <c r="T77" i="18"/>
  <c r="T78" i="18"/>
  <c r="T79" i="18"/>
  <c r="T80" i="18"/>
  <c r="T81" i="18"/>
  <c r="T82" i="18"/>
  <c r="T83" i="18"/>
  <c r="T84" i="18"/>
  <c r="G26" i="18"/>
  <c r="J26" i="18"/>
  <c r="E26" i="18"/>
  <c r="G68" i="18"/>
  <c r="H68" i="18"/>
  <c r="J68" i="18"/>
  <c r="E68" i="18"/>
  <c r="N25" i="18"/>
  <c r="I88" i="18"/>
  <c r="J88" i="18"/>
  <c r="I86" i="18"/>
  <c r="J86" i="18"/>
  <c r="G88" i="18"/>
  <c r="G86" i="18"/>
  <c r="K28" i="18"/>
  <c r="K29" i="18"/>
  <c r="T31" i="18"/>
  <c r="T32" i="18"/>
  <c r="L36" i="18"/>
  <c r="M36" i="18" s="1"/>
  <c r="L37" i="18"/>
  <c r="M37" i="18" s="1"/>
  <c r="L38" i="18"/>
  <c r="M38" i="18" s="1"/>
  <c r="L53" i="18"/>
  <c r="T55" i="18"/>
  <c r="K56" i="18"/>
  <c r="L57" i="18"/>
  <c r="M57" i="18" s="1"/>
  <c r="L60" i="18"/>
  <c r="M60" i="18" s="1"/>
  <c r="L61" i="18"/>
  <c r="M61" i="18" s="1"/>
  <c r="L64" i="18"/>
  <c r="M64" i="18" s="1"/>
  <c r="H86" i="18"/>
  <c r="L27" i="18"/>
  <c r="M27" i="18" s="1"/>
  <c r="I12" i="18"/>
  <c r="J12" i="18"/>
  <c r="J14" i="18"/>
  <c r="I19" i="18"/>
  <c r="J19" i="18"/>
  <c r="I21" i="18"/>
  <c r="J21" i="18"/>
  <c r="H21" i="18"/>
  <c r="G21" i="18"/>
  <c r="H19" i="18"/>
  <c r="G19" i="18"/>
  <c r="H14" i="18"/>
  <c r="G14" i="18"/>
  <c r="H12" i="18"/>
  <c r="G12" i="18"/>
  <c r="E21" i="18"/>
  <c r="E19" i="18"/>
  <c r="E14" i="18"/>
  <c r="E12" i="18"/>
  <c r="F64" i="5"/>
  <c r="G64" i="5"/>
  <c r="E22" i="10" s="1"/>
  <c r="I64" i="5"/>
  <c r="F43" i="5"/>
  <c r="D17" i="10" s="1"/>
  <c r="G43" i="5"/>
  <c r="F27" i="5"/>
  <c r="D14" i="10" s="1"/>
  <c r="G27" i="5"/>
  <c r="H27" i="5"/>
  <c r="G40" i="5"/>
  <c r="F31" i="5"/>
  <c r="D13" i="10" s="1"/>
  <c r="E31" i="5"/>
  <c r="C13" i="10" s="1"/>
  <c r="A33" i="5"/>
  <c r="A34" i="5" s="1"/>
  <c r="A35" i="5" s="1"/>
  <c r="A36" i="5" s="1"/>
  <c r="A37" i="5" s="1"/>
  <c r="S25" i="18"/>
  <c r="Q25" i="18"/>
  <c r="T13" i="18"/>
  <c r="T15" i="18"/>
  <c r="T17" i="18"/>
  <c r="T22" i="18"/>
  <c r="T34" i="18"/>
  <c r="T39" i="18"/>
  <c r="T40" i="18"/>
  <c r="T43" i="18"/>
  <c r="T44" i="18"/>
  <c r="T45" i="18"/>
  <c r="T46" i="18"/>
  <c r="T48" i="18"/>
  <c r="T49" i="18"/>
  <c r="T51" i="18"/>
  <c r="T87" i="18"/>
  <c r="T93" i="18"/>
  <c r="T94" i="18"/>
  <c r="T95" i="18"/>
  <c r="T96" i="18"/>
  <c r="T97" i="18"/>
  <c r="T98" i="18"/>
  <c r="T99" i="18"/>
  <c r="T100" i="18"/>
  <c r="T101" i="18"/>
  <c r="T102" i="18"/>
  <c r="T103" i="18"/>
  <c r="T106" i="18"/>
  <c r="T107" i="18"/>
  <c r="T108" i="18"/>
  <c r="T109" i="18"/>
  <c r="T110" i="18"/>
  <c r="T111" i="18"/>
  <c r="T112" i="18"/>
  <c r="T113" i="18"/>
  <c r="T114" i="18"/>
  <c r="T115" i="18"/>
  <c r="T118" i="18"/>
  <c r="T119" i="18"/>
  <c r="T120" i="18"/>
  <c r="T122" i="18"/>
  <c r="T123" i="18"/>
  <c r="T124" i="18"/>
  <c r="T127" i="18"/>
  <c r="T128" i="18"/>
  <c r="T131" i="18"/>
  <c r="T132" i="18"/>
  <c r="T133" i="18"/>
  <c r="T137" i="18"/>
  <c r="T138" i="18"/>
  <c r="T140" i="18"/>
  <c r="T141" i="18"/>
  <c r="T145" i="18"/>
  <c r="T148" i="18"/>
  <c r="T149" i="18"/>
  <c r="T151" i="18"/>
  <c r="T152" i="18"/>
  <c r="T153" i="18"/>
  <c r="T154" i="18"/>
  <c r="T157" i="18"/>
  <c r="T159" i="18"/>
  <c r="T160" i="18"/>
  <c r="T161" i="18"/>
  <c r="T164" i="18"/>
  <c r="T167" i="18"/>
  <c r="T168" i="18"/>
  <c r="T169" i="18"/>
  <c r="T170" i="18"/>
  <c r="T173" i="18"/>
  <c r="T175" i="18"/>
  <c r="T176" i="18"/>
  <c r="T179" i="18"/>
  <c r="T180" i="18"/>
  <c r="T182" i="18"/>
  <c r="T183" i="18"/>
  <c r="T186" i="18"/>
  <c r="T189" i="18"/>
  <c r="T190" i="18"/>
  <c r="O51" i="5"/>
  <c r="O50" i="5"/>
  <c r="O45" i="5"/>
  <c r="O28" i="5"/>
  <c r="O30" i="5"/>
  <c r="O46" i="5"/>
  <c r="O57" i="5"/>
  <c r="O60" i="5"/>
  <c r="O62" i="5"/>
  <c r="O63" i="5"/>
  <c r="O70" i="5"/>
  <c r="O65" i="5"/>
  <c r="O66" i="5"/>
  <c r="O67" i="5"/>
  <c r="O68" i="5"/>
  <c r="O69" i="5"/>
  <c r="O71" i="5"/>
  <c r="O74" i="5"/>
  <c r="I185" i="18"/>
  <c r="J185" i="18"/>
  <c r="I126" i="18"/>
  <c r="I105" i="18"/>
  <c r="I92" i="18"/>
  <c r="J105" i="18"/>
  <c r="J92" i="18"/>
  <c r="J163" i="18"/>
  <c r="J126" i="18"/>
  <c r="T129" i="18"/>
  <c r="E88" i="18"/>
  <c r="E86" i="18"/>
  <c r="A28" i="18"/>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T20" i="18"/>
  <c r="T16" i="18"/>
  <c r="T121" i="18"/>
  <c r="T104" i="18"/>
  <c r="T116" i="18"/>
  <c r="T165" i="18"/>
  <c r="T187" i="18"/>
  <c r="E101" i="19"/>
  <c r="F101" i="19"/>
  <c r="G101" i="19"/>
  <c r="G104" i="19"/>
  <c r="R66" i="19"/>
  <c r="S66" i="19"/>
  <c r="H101" i="19"/>
  <c r="I101" i="19"/>
  <c r="K96" i="19"/>
  <c r="I96" i="19"/>
  <c r="H96" i="19"/>
  <c r="R96" i="19"/>
  <c r="G96" i="19"/>
  <c r="F96" i="19"/>
  <c r="E96" i="19"/>
  <c r="P95" i="19"/>
  <c r="S94" i="19"/>
  <c r="R94" i="19"/>
  <c r="P94" i="19"/>
  <c r="J94" i="19"/>
  <c r="S93" i="19"/>
  <c r="R93" i="19"/>
  <c r="P93" i="19"/>
  <c r="L93" i="19"/>
  <c r="J93" i="19"/>
  <c r="S92" i="19"/>
  <c r="R92" i="19"/>
  <c r="P92" i="19"/>
  <c r="L92" i="19"/>
  <c r="J92" i="19"/>
  <c r="S91" i="19"/>
  <c r="R91" i="19"/>
  <c r="P91" i="19"/>
  <c r="L91" i="19"/>
  <c r="J91" i="19"/>
  <c r="S90" i="19"/>
  <c r="R90" i="19"/>
  <c r="P90" i="19"/>
  <c r="L90" i="19"/>
  <c r="J90" i="19"/>
  <c r="S89" i="19"/>
  <c r="R89" i="19"/>
  <c r="K89" i="19"/>
  <c r="J89" i="19"/>
  <c r="S88" i="19"/>
  <c r="R88" i="19"/>
  <c r="P88" i="19"/>
  <c r="L88" i="19"/>
  <c r="J88" i="19"/>
  <c r="S87" i="19"/>
  <c r="R87" i="19"/>
  <c r="K87" i="19"/>
  <c r="P87" i="19"/>
  <c r="J87" i="19"/>
  <c r="S86" i="19"/>
  <c r="R86" i="19"/>
  <c r="P86" i="19"/>
  <c r="L86" i="19"/>
  <c r="J86" i="19"/>
  <c r="I85" i="19"/>
  <c r="H85" i="19"/>
  <c r="G85" i="19"/>
  <c r="F85" i="19"/>
  <c r="E85" i="19"/>
  <c r="S84" i="19"/>
  <c r="R84" i="19"/>
  <c r="K84" i="19"/>
  <c r="P84" i="19"/>
  <c r="J84" i="19"/>
  <c r="S83" i="19"/>
  <c r="R83" i="19"/>
  <c r="K83" i="19"/>
  <c r="P83" i="19"/>
  <c r="J83" i="19"/>
  <c r="I82" i="19"/>
  <c r="H82" i="19"/>
  <c r="G82" i="19"/>
  <c r="F82" i="19"/>
  <c r="E82" i="19"/>
  <c r="S81" i="19"/>
  <c r="R81" i="19"/>
  <c r="K81" i="19"/>
  <c r="J81" i="19"/>
  <c r="S80" i="19"/>
  <c r="R80" i="19"/>
  <c r="P80" i="19"/>
  <c r="L80" i="19"/>
  <c r="J80" i="19"/>
  <c r="I79" i="19"/>
  <c r="H79" i="19"/>
  <c r="G79" i="19"/>
  <c r="F79" i="19"/>
  <c r="E79" i="19"/>
  <c r="J78" i="19"/>
  <c r="H78" i="19"/>
  <c r="H72" i="19" s="1"/>
  <c r="R72" i="19" s="1"/>
  <c r="H77" i="19"/>
  <c r="R77" i="19"/>
  <c r="G77" i="19"/>
  <c r="S76" i="19"/>
  <c r="R76" i="19"/>
  <c r="K76" i="19"/>
  <c r="J76" i="19"/>
  <c r="S75" i="19"/>
  <c r="R75" i="19"/>
  <c r="K75" i="19"/>
  <c r="L75" i="19" s="1"/>
  <c r="J75" i="19"/>
  <c r="S74" i="19"/>
  <c r="R74" i="19"/>
  <c r="P74" i="19"/>
  <c r="L74" i="19"/>
  <c r="J74" i="19"/>
  <c r="S73" i="19"/>
  <c r="R73" i="19"/>
  <c r="K73" i="19"/>
  <c r="L73" i="19" s="1"/>
  <c r="J73" i="19"/>
  <c r="I72" i="19"/>
  <c r="F72" i="19"/>
  <c r="E72" i="19"/>
  <c r="I69" i="19"/>
  <c r="H69" i="19"/>
  <c r="G69" i="19"/>
  <c r="S69" i="19" s="1"/>
  <c r="F69" i="19"/>
  <c r="E69" i="19"/>
  <c r="S68" i="19"/>
  <c r="R68" i="19"/>
  <c r="J68" i="19"/>
  <c r="S67" i="19"/>
  <c r="R67" i="19"/>
  <c r="J67" i="19"/>
  <c r="K65" i="19"/>
  <c r="I65" i="19"/>
  <c r="G65" i="19"/>
  <c r="F65" i="19"/>
  <c r="E65" i="19"/>
  <c r="S62" i="19"/>
  <c r="R62" i="19"/>
  <c r="K62" i="19"/>
  <c r="J62" i="19"/>
  <c r="S61" i="19"/>
  <c r="R61" i="19"/>
  <c r="K61" i="19"/>
  <c r="L61" i="19" s="1"/>
  <c r="J61" i="19"/>
  <c r="S60" i="19"/>
  <c r="R60" i="19"/>
  <c r="K60" i="19"/>
  <c r="P60" i="19" s="1"/>
  <c r="J60" i="19"/>
  <c r="S59" i="19"/>
  <c r="R59" i="19"/>
  <c r="K59" i="19"/>
  <c r="J59" i="19"/>
  <c r="S58" i="19"/>
  <c r="R58" i="19"/>
  <c r="K58" i="19"/>
  <c r="P58" i="19" s="1"/>
  <c r="J58" i="19"/>
  <c r="I57" i="19"/>
  <c r="J57" i="19" s="1"/>
  <c r="H57" i="19"/>
  <c r="G57" i="19"/>
  <c r="F57" i="19"/>
  <c r="E57" i="19"/>
  <c r="S56" i="19"/>
  <c r="R56" i="19"/>
  <c r="J56" i="19"/>
  <c r="R55" i="19"/>
  <c r="G55" i="19"/>
  <c r="S55" i="19"/>
  <c r="F55" i="19"/>
  <c r="E55" i="19"/>
  <c r="S54" i="19"/>
  <c r="I54" i="19"/>
  <c r="K54" i="19"/>
  <c r="I53" i="19"/>
  <c r="J53" i="19" s="1"/>
  <c r="G53" i="19"/>
  <c r="S53" i="19"/>
  <c r="R52" i="19"/>
  <c r="G52" i="19"/>
  <c r="R51" i="19"/>
  <c r="K51" i="19"/>
  <c r="F51" i="19"/>
  <c r="G51" i="19" s="1"/>
  <c r="S50" i="19"/>
  <c r="R50" i="19"/>
  <c r="K50" i="19"/>
  <c r="L50" i="19" s="1"/>
  <c r="J50" i="19"/>
  <c r="S49" i="19"/>
  <c r="R49" i="19"/>
  <c r="K49" i="19"/>
  <c r="P49" i="19" s="1"/>
  <c r="J49" i="19"/>
  <c r="H48" i="19"/>
  <c r="H10" i="19" s="1"/>
  <c r="E48" i="19"/>
  <c r="S47" i="19"/>
  <c r="R47" i="19"/>
  <c r="J47" i="19"/>
  <c r="H46" i="19"/>
  <c r="I46" i="19" s="1"/>
  <c r="J46" i="19" s="1"/>
  <c r="H45" i="19"/>
  <c r="I45" i="19" s="1"/>
  <c r="J45" i="19" s="1"/>
  <c r="H44" i="19"/>
  <c r="I44" i="19"/>
  <c r="J44" i="19" s="1"/>
  <c r="H43" i="19"/>
  <c r="I43" i="19" s="1"/>
  <c r="J43" i="19" s="1"/>
  <c r="H42" i="19"/>
  <c r="I42" i="19" s="1"/>
  <c r="J42" i="19" s="1"/>
  <c r="H41" i="19"/>
  <c r="I41" i="19" s="1"/>
  <c r="J41" i="19" s="1"/>
  <c r="J40" i="19"/>
  <c r="H40" i="19"/>
  <c r="H39" i="19"/>
  <c r="I39" i="19" s="1"/>
  <c r="J39" i="19" s="1"/>
  <c r="H38" i="19"/>
  <c r="I38" i="19" s="1"/>
  <c r="J38" i="19" s="1"/>
  <c r="H37" i="19"/>
  <c r="I37" i="19"/>
  <c r="J37" i="19" s="1"/>
  <c r="H36" i="19"/>
  <c r="I36" i="19" s="1"/>
  <c r="J36" i="19" s="1"/>
  <c r="H35" i="19"/>
  <c r="I35" i="19"/>
  <c r="J35" i="19" s="1"/>
  <c r="J34" i="19"/>
  <c r="H33" i="19"/>
  <c r="I33" i="19"/>
  <c r="J33" i="19" s="1"/>
  <c r="H32" i="19"/>
  <c r="I32" i="19" s="1"/>
  <c r="J32" i="19" s="1"/>
  <c r="J31" i="19"/>
  <c r="H31" i="19"/>
  <c r="J30" i="19"/>
  <c r="H30" i="19"/>
  <c r="J29" i="19"/>
  <c r="H29" i="19"/>
  <c r="H28" i="19"/>
  <c r="I28" i="19"/>
  <c r="J28" i="19" s="1"/>
  <c r="H27" i="19"/>
  <c r="I27" i="19" s="1"/>
  <c r="J27" i="19" s="1"/>
  <c r="H26" i="19"/>
  <c r="I26" i="19"/>
  <c r="J26" i="19" s="1"/>
  <c r="J25" i="19"/>
  <c r="H25" i="19"/>
  <c r="J24" i="19"/>
  <c r="H24" i="19"/>
  <c r="H23" i="19"/>
  <c r="I23" i="19" s="1"/>
  <c r="J23" i="19" s="1"/>
  <c r="H22" i="19"/>
  <c r="I22" i="19"/>
  <c r="J22" i="19" s="1"/>
  <c r="H21" i="19"/>
  <c r="I21" i="19" s="1"/>
  <c r="J21" i="19" s="1"/>
  <c r="H20" i="19"/>
  <c r="I20" i="19"/>
  <c r="J20" i="19" s="1"/>
  <c r="H19" i="19"/>
  <c r="I19" i="19" s="1"/>
  <c r="J19" i="19" s="1"/>
  <c r="H18" i="19"/>
  <c r="I18" i="19"/>
  <c r="J18" i="19" s="1"/>
  <c r="J17" i="19"/>
  <c r="H17" i="19"/>
  <c r="H16" i="19"/>
  <c r="I16" i="19" s="1"/>
  <c r="J16" i="19" s="1"/>
  <c r="H15" i="19"/>
  <c r="I15" i="19"/>
  <c r="J15" i="19" s="1"/>
  <c r="H14" i="19"/>
  <c r="I14" i="19" s="1"/>
  <c r="J13" i="19"/>
  <c r="H13" i="19"/>
  <c r="S12" i="19"/>
  <c r="H11" i="19"/>
  <c r="G11" i="19"/>
  <c r="F11" i="19"/>
  <c r="E11" i="19"/>
  <c r="E10" i="19" s="1"/>
  <c r="E64" i="19"/>
  <c r="E63" i="19"/>
  <c r="R79" i="19"/>
  <c r="L60" i="19"/>
  <c r="I48" i="19"/>
  <c r="P73" i="19"/>
  <c r="J79" i="19"/>
  <c r="S82" i="19"/>
  <c r="R54" i="19"/>
  <c r="R57" i="19"/>
  <c r="S77" i="19"/>
  <c r="J54" i="19"/>
  <c r="L77" i="19"/>
  <c r="G72" i="19"/>
  <c r="S72" i="19" s="1"/>
  <c r="S79" i="19"/>
  <c r="R82" i="19"/>
  <c r="L84" i="19"/>
  <c r="P75" i="19"/>
  <c r="J82" i="19"/>
  <c r="S85" i="19"/>
  <c r="J55" i="19"/>
  <c r="L58" i="19"/>
  <c r="S11" i="19"/>
  <c r="I64" i="19"/>
  <c r="J85" i="19"/>
  <c r="R85" i="19"/>
  <c r="F48" i="19"/>
  <c r="F10" i="19" s="1"/>
  <c r="J69" i="19"/>
  <c r="R69" i="19"/>
  <c r="S78" i="19"/>
  <c r="K78" i="19"/>
  <c r="K72" i="19"/>
  <c r="L72" i="19" s="1"/>
  <c r="R78" i="19"/>
  <c r="P81" i="19"/>
  <c r="L81" i="19"/>
  <c r="K79" i="19"/>
  <c r="P79" i="19" s="1"/>
  <c r="P89" i="19"/>
  <c r="L89" i="19"/>
  <c r="P61" i="19"/>
  <c r="P96" i="19"/>
  <c r="L96" i="19"/>
  <c r="S57" i="19"/>
  <c r="P59" i="19"/>
  <c r="L59" i="19"/>
  <c r="K69" i="19"/>
  <c r="P52" i="19"/>
  <c r="J52" i="19"/>
  <c r="L52" i="19"/>
  <c r="S52" i="19"/>
  <c r="P54" i="19"/>
  <c r="L54" i="19"/>
  <c r="K57" i="19"/>
  <c r="L57" i="19" s="1"/>
  <c r="P76" i="19"/>
  <c r="L76" i="19"/>
  <c r="S96" i="19"/>
  <c r="J96" i="19"/>
  <c r="P77" i="19"/>
  <c r="L49" i="19"/>
  <c r="L83" i="19"/>
  <c r="K85" i="19"/>
  <c r="P85" i="19" s="1"/>
  <c r="L87" i="19"/>
  <c r="J77" i="19"/>
  <c r="K82" i="19"/>
  <c r="L82" i="19" s="1"/>
  <c r="I63" i="19"/>
  <c r="P72" i="19"/>
  <c r="L79" i="19"/>
  <c r="P57" i="19"/>
  <c r="P82" i="19"/>
  <c r="L85" i="19"/>
  <c r="L69" i="19"/>
  <c r="K64" i="19"/>
  <c r="P69" i="19"/>
  <c r="L78" i="19"/>
  <c r="P78" i="19"/>
  <c r="E64" i="5"/>
  <c r="C22" i="10" s="1"/>
  <c r="F12" i="10"/>
  <c r="D12" i="10"/>
  <c r="C12" i="10"/>
  <c r="E12" i="10"/>
  <c r="H12" i="10"/>
  <c r="O11" i="5"/>
  <c r="G12" i="10"/>
  <c r="F61" i="5"/>
  <c r="D21" i="10" s="1"/>
  <c r="H61" i="5"/>
  <c r="E61" i="5"/>
  <c r="C21" i="10" s="1"/>
  <c r="I61" i="5"/>
  <c r="G61" i="5"/>
  <c r="G49" i="5"/>
  <c r="E19" i="10" s="1"/>
  <c r="E49" i="5"/>
  <c r="C19" i="10" s="1"/>
  <c r="D22" i="10"/>
  <c r="F49" i="5"/>
  <c r="D19" i="10" s="1"/>
  <c r="F58" i="5"/>
  <c r="D20" i="10" s="1"/>
  <c r="G58" i="5"/>
  <c r="H58" i="5"/>
  <c r="I58" i="5"/>
  <c r="E58" i="5"/>
  <c r="C20" i="10" s="1"/>
  <c r="F40" i="5"/>
  <c r="H40" i="5"/>
  <c r="O44" i="5"/>
  <c r="C18" i="10"/>
  <c r="E43" i="5"/>
  <c r="C17" i="10" s="1"/>
  <c r="C37" i="10"/>
  <c r="E40" i="5"/>
  <c r="C15" i="10" s="1"/>
  <c r="E27" i="5"/>
  <c r="C14" i="10" s="1"/>
  <c r="L54" i="18"/>
  <c r="M54" i="18" s="1"/>
  <c r="L30" i="18"/>
  <c r="M30" i="18" s="1"/>
  <c r="T29" i="18"/>
  <c r="T36" i="18"/>
  <c r="T56" i="18"/>
  <c r="T30" i="18"/>
  <c r="L56" i="18"/>
  <c r="M56" i="18" s="1"/>
  <c r="L29" i="18"/>
  <c r="M29" i="18" s="1"/>
  <c r="K30" i="18"/>
  <c r="T66" i="18"/>
  <c r="L58" i="18"/>
  <c r="M58" i="18" s="1"/>
  <c r="T58" i="18"/>
  <c r="L41" i="18"/>
  <c r="M41" i="18" s="1"/>
  <c r="T41" i="18"/>
  <c r="T28" i="18"/>
  <c r="K41" i="18"/>
  <c r="L47" i="18"/>
  <c r="M47" i="18" s="1"/>
  <c r="T47" i="18"/>
  <c r="T60" i="18"/>
  <c r="T27" i="18"/>
  <c r="K66" i="18"/>
  <c r="K37" i="18"/>
  <c r="T37" i="18"/>
  <c r="K32" i="18"/>
  <c r="L32" i="18"/>
  <c r="M32" i="18" s="1"/>
  <c r="T64" i="18"/>
  <c r="K62" i="18"/>
  <c r="L62" i="18"/>
  <c r="M62" i="18" s="1"/>
  <c r="K58" i="18"/>
  <c r="T52" i="18"/>
  <c r="T67" i="18"/>
  <c r="L66" i="18"/>
  <c r="M66" i="18" s="1"/>
  <c r="K64" i="18"/>
  <c r="K54" i="18"/>
  <c r="L50" i="18"/>
  <c r="K52" i="18"/>
  <c r="L52" i="18"/>
  <c r="M52" i="18" s="1"/>
  <c r="L42" i="18"/>
  <c r="M42" i="18" s="1"/>
  <c r="K60" i="18"/>
  <c r="K35" i="18"/>
  <c r="L35" i="18"/>
  <c r="M35" i="18" s="1"/>
  <c r="T35" i="18"/>
  <c r="K47" i="18"/>
  <c r="T62" i="18"/>
  <c r="T54" i="18"/>
  <c r="T65" i="18"/>
  <c r="T53" i="18"/>
  <c r="L59" i="18"/>
  <c r="M59" i="18" s="1"/>
  <c r="L67" i="18"/>
  <c r="M67" i="18" s="1"/>
  <c r="K38" i="18"/>
  <c r="T38" i="18"/>
  <c r="T61" i="18"/>
  <c r="T59" i="18"/>
  <c r="L65" i="18"/>
  <c r="M65" i="18" s="1"/>
  <c r="K42" i="18"/>
  <c r="T42" i="18"/>
  <c r="K31" i="18"/>
  <c r="L31" i="18"/>
  <c r="M31" i="18" s="1"/>
  <c r="T57" i="18"/>
  <c r="K36" i="18"/>
  <c r="T63" i="18"/>
  <c r="L55" i="18"/>
  <c r="M55" i="18" s="1"/>
  <c r="L63" i="18"/>
  <c r="M63" i="18" s="1"/>
  <c r="K27" i="18"/>
  <c r="H26" i="18"/>
  <c r="K67" i="18"/>
  <c r="K65" i="18"/>
  <c r="K63" i="18"/>
  <c r="K61" i="18"/>
  <c r="K57" i="18"/>
  <c r="K55" i="18"/>
  <c r="T50" i="18"/>
  <c r="K33" i="18"/>
  <c r="T33" i="18"/>
  <c r="L33" i="18"/>
  <c r="M33" i="18" s="1"/>
  <c r="L28" i="18"/>
  <c r="M28" i="18" s="1"/>
  <c r="O41" i="5"/>
  <c r="I40" i="5"/>
  <c r="J51" i="19" l="1"/>
  <c r="P51" i="19"/>
  <c r="S51" i="19"/>
  <c r="G48" i="19"/>
  <c r="L51" i="19"/>
  <c r="J14" i="19"/>
  <c r="I12" i="19"/>
  <c r="R53" i="19"/>
  <c r="F64" i="19"/>
  <c r="F63" i="19" s="1"/>
  <c r="R48" i="19"/>
  <c r="K48" i="19"/>
  <c r="J72" i="19"/>
  <c r="E9" i="19"/>
  <c r="E8" i="19" s="1"/>
  <c r="P50" i="19"/>
  <c r="K53" i="19"/>
  <c r="F9" i="19"/>
  <c r="F8" i="19" s="1"/>
  <c r="H64" i="19"/>
  <c r="H63" i="19" s="1"/>
  <c r="W56" i="21"/>
  <c r="M53" i="21"/>
  <c r="O132" i="21"/>
  <c r="M137" i="21"/>
  <c r="O53" i="21"/>
  <c r="H31" i="5"/>
  <c r="H10" i="5" s="1"/>
  <c r="W138" i="21"/>
  <c r="E162" i="18"/>
  <c r="Q61" i="5"/>
  <c r="O216" i="21"/>
  <c r="R64" i="19"/>
  <c r="R65" i="19"/>
  <c r="S65" i="19"/>
  <c r="J65" i="19"/>
  <c r="L65" i="19"/>
  <c r="P65" i="19"/>
  <c r="G64" i="19"/>
  <c r="N215" i="21"/>
  <c r="Q58" i="5"/>
  <c r="U105" i="18"/>
  <c r="U136" i="18"/>
  <c r="U192" i="18"/>
  <c r="U126" i="18"/>
  <c r="U12" i="18"/>
  <c r="V191" i="21"/>
  <c r="W216" i="21"/>
  <c r="W42" i="21"/>
  <c r="W132" i="21"/>
  <c r="W40" i="21"/>
  <c r="AA40" i="21"/>
  <c r="I181" i="18"/>
  <c r="U181" i="18" s="1"/>
  <c r="U183" i="18"/>
  <c r="I14" i="18"/>
  <c r="U14" i="18" s="1"/>
  <c r="U15" i="18"/>
  <c r="U19" i="18"/>
  <c r="U86" i="18"/>
  <c r="U117" i="18"/>
  <c r="I194" i="18"/>
  <c r="U194" i="18" s="1"/>
  <c r="U195" i="18"/>
  <c r="I217" i="18"/>
  <c r="U217" i="18" s="1"/>
  <c r="U219" i="18"/>
  <c r="U139" i="18"/>
  <c r="U156" i="18"/>
  <c r="I188" i="18"/>
  <c r="U188" i="18" s="1"/>
  <c r="U189" i="18"/>
  <c r="I150" i="18"/>
  <c r="U150" i="18" s="1"/>
  <c r="U154" i="18"/>
  <c r="I163" i="18"/>
  <c r="U163" i="18" s="1"/>
  <c r="U165" i="18"/>
  <c r="I222" i="18"/>
  <c r="U222" i="18" s="1"/>
  <c r="U224" i="18"/>
  <c r="U92" i="18"/>
  <c r="U185" i="18"/>
  <c r="U21" i="18"/>
  <c r="U88" i="18"/>
  <c r="U178" i="18"/>
  <c r="U232" i="18"/>
  <c r="U172" i="18"/>
  <c r="U202" i="18"/>
  <c r="I174" i="18"/>
  <c r="U174" i="18" s="1"/>
  <c r="U175" i="18"/>
  <c r="I198" i="18"/>
  <c r="U199" i="18"/>
  <c r="I204" i="18"/>
  <c r="U204" i="18" s="1"/>
  <c r="U205" i="18"/>
  <c r="I147" i="18"/>
  <c r="U147" i="18" s="1"/>
  <c r="U149" i="18"/>
  <c r="Q75" i="5"/>
  <c r="Q76" i="5"/>
  <c r="F15" i="10"/>
  <c r="Q40" i="5"/>
  <c r="X52" i="5"/>
  <c r="X51" i="5" s="1"/>
  <c r="Q39" i="5"/>
  <c r="F17" i="10"/>
  <c r="Q43" i="5"/>
  <c r="V24" i="21"/>
  <c r="V120" i="21"/>
  <c r="AF185" i="21"/>
  <c r="V185" i="21"/>
  <c r="Q191" i="21"/>
  <c r="AF191" i="21"/>
  <c r="AF207" i="21"/>
  <c r="AF211" i="21"/>
  <c r="W208" i="21"/>
  <c r="V208" i="21"/>
  <c r="Q16" i="21"/>
  <c r="AF16" i="21"/>
  <c r="V20" i="21"/>
  <c r="AF20" i="21"/>
  <c r="V27" i="21"/>
  <c r="Q108" i="21"/>
  <c r="AF108" i="21"/>
  <c r="V108" i="21"/>
  <c r="Q42" i="21"/>
  <c r="AF42" i="21"/>
  <c r="V42" i="21"/>
  <c r="Q45" i="21"/>
  <c r="AF45" i="21"/>
  <c r="V45" i="21"/>
  <c r="AF49" i="21"/>
  <c r="V49" i="21"/>
  <c r="V102" i="21"/>
  <c r="AF102" i="21"/>
  <c r="V104" i="21"/>
  <c r="AF104" i="21"/>
  <c r="Q132" i="21"/>
  <c r="AF132" i="21"/>
  <c r="V132" i="21"/>
  <c r="Q137" i="21"/>
  <c r="AF137" i="21"/>
  <c r="V137" i="21"/>
  <c r="V143" i="21"/>
  <c r="AF143" i="21"/>
  <c r="AF215" i="21"/>
  <c r="V11" i="21"/>
  <c r="AF11" i="21"/>
  <c r="Q14" i="21"/>
  <c r="AF14" i="21"/>
  <c r="V14" i="21"/>
  <c r="Q24" i="21"/>
  <c r="AF24" i="21"/>
  <c r="Q27" i="21"/>
  <c r="AF27" i="21"/>
  <c r="Q31" i="21"/>
  <c r="V31" i="21"/>
  <c r="AF31" i="21"/>
  <c r="Q35" i="21"/>
  <c r="V35" i="21"/>
  <c r="AF35" i="21"/>
  <c r="Q39" i="21"/>
  <c r="V39" i="21"/>
  <c r="AF39" i="21"/>
  <c r="V53" i="21"/>
  <c r="F34" i="10"/>
  <c r="W108" i="21"/>
  <c r="W11" i="21"/>
  <c r="W24" i="21"/>
  <c r="W120" i="21"/>
  <c r="I144" i="18"/>
  <c r="U145" i="18"/>
  <c r="E14" i="10"/>
  <c r="F42" i="5"/>
  <c r="D16" i="10" s="1"/>
  <c r="L40" i="5"/>
  <c r="Q11" i="21"/>
  <c r="J107" i="21"/>
  <c r="J106" i="21" s="1"/>
  <c r="M49" i="21"/>
  <c r="W49" i="21" s="1"/>
  <c r="J184" i="18"/>
  <c r="F11" i="18"/>
  <c r="F125" i="18"/>
  <c r="F91" i="18" s="1"/>
  <c r="G155" i="18"/>
  <c r="H162" i="18"/>
  <c r="K181" i="18"/>
  <c r="T147" i="18"/>
  <c r="I107" i="21"/>
  <c r="I106" i="21" s="1"/>
  <c r="L41" i="5"/>
  <c r="E15" i="10"/>
  <c r="G42" i="5"/>
  <c r="L61" i="5"/>
  <c r="L57" i="5"/>
  <c r="L58" i="5"/>
  <c r="F20" i="10"/>
  <c r="K39" i="5"/>
  <c r="L39" i="5" s="1"/>
  <c r="M146" i="21"/>
  <c r="W146" i="21" s="1"/>
  <c r="G184" i="21"/>
  <c r="M35" i="21"/>
  <c r="W35" i="21" s="1"/>
  <c r="M102" i="21"/>
  <c r="W102" i="21" s="1"/>
  <c r="M14" i="21"/>
  <c r="W14" i="21" s="1"/>
  <c r="M39" i="21"/>
  <c r="W39" i="21" s="1"/>
  <c r="M185" i="21"/>
  <c r="N52" i="21"/>
  <c r="M27" i="21"/>
  <c r="W27" i="21" s="1"/>
  <c r="M45" i="21"/>
  <c r="W45" i="21" s="1"/>
  <c r="G34" i="10"/>
  <c r="H135" i="18"/>
  <c r="H134" i="18" s="1"/>
  <c r="H212" i="18"/>
  <c r="T92" i="18"/>
  <c r="K68" i="18"/>
  <c r="F85" i="18"/>
  <c r="F18" i="18"/>
  <c r="E146" i="18"/>
  <c r="F146" i="18"/>
  <c r="G184" i="18"/>
  <c r="K194" i="18"/>
  <c r="N184" i="21"/>
  <c r="H23" i="10"/>
  <c r="H49" i="5"/>
  <c r="G19" i="10"/>
  <c r="G22" i="10"/>
  <c r="M22" i="10" s="1"/>
  <c r="M31" i="21"/>
  <c r="W31" i="21" s="1"/>
  <c r="O49" i="21"/>
  <c r="Q49" i="21"/>
  <c r="M143" i="21"/>
  <c r="L184" i="21"/>
  <c r="Q185" i="21"/>
  <c r="E34" i="10"/>
  <c r="Q215" i="21"/>
  <c r="J34" i="10" s="1"/>
  <c r="M18" i="21"/>
  <c r="N16" i="21"/>
  <c r="O16" i="21" s="1"/>
  <c r="L52" i="21"/>
  <c r="Q53" i="21"/>
  <c r="L101" i="21"/>
  <c r="Q102" i="21"/>
  <c r="Q104" i="21"/>
  <c r="Q120" i="21"/>
  <c r="E101" i="21"/>
  <c r="E51" i="21" s="1"/>
  <c r="C31" i="10" s="1"/>
  <c r="Q20" i="21"/>
  <c r="L142" i="21"/>
  <c r="Q143" i="21"/>
  <c r="O18" i="21"/>
  <c r="H107" i="21"/>
  <c r="H106" i="21" s="1"/>
  <c r="L178" i="18"/>
  <c r="M178" i="18" s="1"/>
  <c r="G25" i="18"/>
  <c r="G24" i="18" s="1"/>
  <c r="G125" i="18"/>
  <c r="G91" i="18" s="1"/>
  <c r="K147" i="18"/>
  <c r="K136" i="18"/>
  <c r="T156" i="18"/>
  <c r="T185" i="18"/>
  <c r="M189" i="18"/>
  <c r="M193" i="18"/>
  <c r="L19" i="18"/>
  <c r="M19" i="18" s="1"/>
  <c r="M20" i="18"/>
  <c r="H146" i="18"/>
  <c r="L204" i="18"/>
  <c r="M204" i="18" s="1"/>
  <c r="L217" i="18"/>
  <c r="M217" i="18" s="1"/>
  <c r="K117" i="18"/>
  <c r="T126" i="18"/>
  <c r="E135" i="18"/>
  <c r="E134" i="18" s="1"/>
  <c r="G135" i="18"/>
  <c r="G134" i="18" s="1"/>
  <c r="I135" i="18"/>
  <c r="T174" i="18"/>
  <c r="T188" i="18"/>
  <c r="G201" i="18"/>
  <c r="J213" i="18"/>
  <c r="J212" i="18" s="1"/>
  <c r="E221" i="18"/>
  <c r="E220" i="18" s="1"/>
  <c r="L86" i="18"/>
  <c r="M86" i="18" s="1"/>
  <c r="M87" i="18"/>
  <c r="M129" i="18"/>
  <c r="M132" i="18"/>
  <c r="M141" i="18"/>
  <c r="M179" i="18"/>
  <c r="E191" i="18"/>
  <c r="G191" i="18"/>
  <c r="L194" i="18"/>
  <c r="M194" i="18" s="1"/>
  <c r="M196" i="18"/>
  <c r="M238" i="18"/>
  <c r="L144" i="18"/>
  <c r="M145" i="18"/>
  <c r="K163" i="18"/>
  <c r="L12" i="18"/>
  <c r="M12" i="18" s="1"/>
  <c r="M13" i="18"/>
  <c r="K214" i="18"/>
  <c r="L163" i="18"/>
  <c r="M163" i="18" s="1"/>
  <c r="K185" i="18"/>
  <c r="T86" i="18"/>
  <c r="T136" i="18"/>
  <c r="F135" i="18"/>
  <c r="F134" i="18" s="1"/>
  <c r="T139" i="18"/>
  <c r="J146" i="18"/>
  <c r="K146" i="18" s="1"/>
  <c r="K156" i="18"/>
  <c r="E177" i="18"/>
  <c r="E201" i="18"/>
  <c r="K225" i="18"/>
  <c r="L21" i="18"/>
  <c r="M21" i="18" s="1"/>
  <c r="M22" i="18"/>
  <c r="L156" i="18"/>
  <c r="M156" i="18" s="1"/>
  <c r="M157" i="18"/>
  <c r="M169" i="18"/>
  <c r="M199" i="18"/>
  <c r="L202" i="18"/>
  <c r="M202" i="18" s="1"/>
  <c r="M203" i="18"/>
  <c r="M211" i="18"/>
  <c r="M228" i="18"/>
  <c r="O213" i="21"/>
  <c r="M213" i="21"/>
  <c r="E33" i="10"/>
  <c r="Q211" i="21"/>
  <c r="J33" i="10" s="1"/>
  <c r="I130" i="18"/>
  <c r="K150" i="18"/>
  <c r="H25" i="18"/>
  <c r="H24" i="18" s="1"/>
  <c r="T68" i="18"/>
  <c r="K8" i="22"/>
  <c r="H8" i="22"/>
  <c r="F36" i="10" s="1"/>
  <c r="F35" i="10" s="1"/>
  <c r="I8" i="22"/>
  <c r="O104" i="21"/>
  <c r="O24" i="21"/>
  <c r="J101" i="21"/>
  <c r="J51" i="21" s="1"/>
  <c r="J10" i="21"/>
  <c r="N211" i="21"/>
  <c r="O11" i="21"/>
  <c r="I101" i="21"/>
  <c r="I51" i="21" s="1"/>
  <c r="G10" i="21"/>
  <c r="O45" i="21"/>
  <c r="O14" i="21"/>
  <c r="M191" i="21"/>
  <c r="W191" i="21" s="1"/>
  <c r="L10" i="21"/>
  <c r="AF10" i="21" s="1"/>
  <c r="M20" i="21"/>
  <c r="W20" i="21" s="1"/>
  <c r="O102" i="21"/>
  <c r="F107" i="21"/>
  <c r="F106" i="21" s="1"/>
  <c r="K107" i="21"/>
  <c r="K106" i="21" s="1"/>
  <c r="K101" i="21"/>
  <c r="K51" i="21" s="1"/>
  <c r="K10" i="21"/>
  <c r="N101" i="21"/>
  <c r="E107" i="21"/>
  <c r="E106" i="21" s="1"/>
  <c r="C32" i="10" s="1"/>
  <c r="F101" i="21"/>
  <c r="F51" i="21" s="1"/>
  <c r="F10" i="21"/>
  <c r="O27" i="21"/>
  <c r="G107" i="21"/>
  <c r="E10" i="21"/>
  <c r="C30" i="10" s="1"/>
  <c r="O39" i="21"/>
  <c r="O42" i="21"/>
  <c r="G142" i="21"/>
  <c r="G101" i="21"/>
  <c r="O108" i="21"/>
  <c r="N107" i="21"/>
  <c r="L107" i="21"/>
  <c r="N142" i="21"/>
  <c r="O143" i="21"/>
  <c r="G207" i="21"/>
  <c r="H101" i="21"/>
  <c r="H51" i="21" s="1"/>
  <c r="H10" i="21"/>
  <c r="O185" i="21"/>
  <c r="O20" i="21"/>
  <c r="O31" i="21"/>
  <c r="N207" i="21"/>
  <c r="O120" i="21"/>
  <c r="O191" i="21"/>
  <c r="I10" i="21"/>
  <c r="H42" i="5"/>
  <c r="G18" i="10"/>
  <c r="H18" i="10"/>
  <c r="F18" i="10"/>
  <c r="G31" i="5"/>
  <c r="E17" i="10"/>
  <c r="O29" i="5"/>
  <c r="J43" i="5"/>
  <c r="H17" i="10" s="1"/>
  <c r="H64" i="5"/>
  <c r="G15" i="10"/>
  <c r="J40" i="5"/>
  <c r="H15" i="10" s="1"/>
  <c r="J29" i="5"/>
  <c r="E18" i="10"/>
  <c r="I42" i="5"/>
  <c r="F21" i="10"/>
  <c r="K27" i="5"/>
  <c r="L27" i="5" s="1"/>
  <c r="J64" i="5"/>
  <c r="H22" i="10" s="1"/>
  <c r="G17" i="10"/>
  <c r="E21" i="10"/>
  <c r="J30" i="5"/>
  <c r="J39" i="5"/>
  <c r="O43" i="5"/>
  <c r="I31" i="5"/>
  <c r="K49" i="5"/>
  <c r="J58" i="5"/>
  <c r="H20" i="10" s="1"/>
  <c r="J61" i="5"/>
  <c r="H21" i="10" s="1"/>
  <c r="J49" i="5"/>
  <c r="H19" i="10" s="1"/>
  <c r="O49" i="5"/>
  <c r="E10" i="5"/>
  <c r="C11" i="10" s="1"/>
  <c r="F10" i="5"/>
  <c r="D11" i="10" s="1"/>
  <c r="D18" i="10"/>
  <c r="E20" i="10"/>
  <c r="O39" i="5"/>
  <c r="K43" i="5"/>
  <c r="K86" i="18"/>
  <c r="E85" i="18"/>
  <c r="H155" i="18"/>
  <c r="L232" i="18"/>
  <c r="M232" i="18" s="1"/>
  <c r="L130" i="18"/>
  <c r="M130" i="18" s="1"/>
  <c r="G11" i="18"/>
  <c r="G18" i="18"/>
  <c r="I85" i="18"/>
  <c r="K139" i="18"/>
  <c r="H201" i="18"/>
  <c r="E171" i="18"/>
  <c r="H171" i="18"/>
  <c r="T105" i="18"/>
  <c r="F162" i="18"/>
  <c r="F177" i="18"/>
  <c r="H221" i="18"/>
  <c r="H220" i="18" s="1"/>
  <c r="G231" i="18"/>
  <c r="J171" i="18"/>
  <c r="F171" i="18"/>
  <c r="I166" i="18"/>
  <c r="L208" i="18"/>
  <c r="T117" i="18"/>
  <c r="L181" i="18"/>
  <c r="E155" i="18"/>
  <c r="K178" i="18"/>
  <c r="K192" i="18"/>
  <c r="F191" i="18"/>
  <c r="I68" i="18"/>
  <c r="U68" i="18" s="1"/>
  <c r="L192" i="18"/>
  <c r="E11" i="18"/>
  <c r="K92" i="18"/>
  <c r="G146" i="18"/>
  <c r="T150" i="18"/>
  <c r="F155" i="18"/>
  <c r="G162" i="18"/>
  <c r="K174" i="18"/>
  <c r="G212" i="18"/>
  <c r="K217" i="18"/>
  <c r="G221" i="18"/>
  <c r="G220" i="18" s="1"/>
  <c r="J201" i="18"/>
  <c r="F201" i="18"/>
  <c r="K26" i="18"/>
  <c r="F221" i="18"/>
  <c r="F220" i="18" s="1"/>
  <c r="L147" i="18"/>
  <c r="M147" i="18" s="1"/>
  <c r="L150" i="18"/>
  <c r="M150" i="18" s="1"/>
  <c r="J162" i="18"/>
  <c r="K126" i="18"/>
  <c r="K202" i="18"/>
  <c r="K105" i="18"/>
  <c r="H18" i="18"/>
  <c r="I18" i="18"/>
  <c r="G171" i="18"/>
  <c r="J197" i="18"/>
  <c r="K197" i="18" s="1"/>
  <c r="K198" i="18"/>
  <c r="I208" i="18"/>
  <c r="E25" i="18"/>
  <c r="E24" i="18" s="1"/>
  <c r="J246" i="18"/>
  <c r="J245" i="18" s="1"/>
  <c r="K247" i="18"/>
  <c r="K204" i="18"/>
  <c r="E91" i="18"/>
  <c r="T166" i="18"/>
  <c r="K166" i="18"/>
  <c r="L213" i="18"/>
  <c r="I158" i="18"/>
  <c r="E231" i="18"/>
  <c r="T144" i="18"/>
  <c r="E212" i="18"/>
  <c r="F212" i="18"/>
  <c r="J221" i="18"/>
  <c r="J220" i="18" s="1"/>
  <c r="J143" i="18"/>
  <c r="K143" i="18" s="1"/>
  <c r="E18" i="18"/>
  <c r="G177" i="18"/>
  <c r="L14" i="18"/>
  <c r="M14" i="18" s="1"/>
  <c r="I239" i="18"/>
  <c r="I26" i="18"/>
  <c r="U26" i="18" s="1"/>
  <c r="K158" i="18"/>
  <c r="K172" i="18"/>
  <c r="L166" i="18"/>
  <c r="H177" i="18"/>
  <c r="K222" i="18"/>
  <c r="T163" i="18"/>
  <c r="H88" i="18"/>
  <c r="L89" i="18"/>
  <c r="L174" i="18"/>
  <c r="M174" i="18" s="1"/>
  <c r="K89" i="18"/>
  <c r="H125" i="18"/>
  <c r="H91" i="18" s="1"/>
  <c r="J135" i="18"/>
  <c r="J155" i="18"/>
  <c r="H191" i="18"/>
  <c r="I225" i="18"/>
  <c r="J177" i="18"/>
  <c r="T181" i="18"/>
  <c r="K19" i="18"/>
  <c r="T89" i="18"/>
  <c r="J191" i="18"/>
  <c r="L126" i="18"/>
  <c r="M126" i="18" s="1"/>
  <c r="T178" i="18"/>
  <c r="F25" i="18"/>
  <c r="F24" i="18" s="1"/>
  <c r="H184" i="18"/>
  <c r="K188" i="18"/>
  <c r="F184" i="18"/>
  <c r="T172" i="18"/>
  <c r="L247" i="18"/>
  <c r="T158" i="18"/>
  <c r="K144" i="18"/>
  <c r="L158" i="18"/>
  <c r="L136" i="18"/>
  <c r="M136" i="18" s="1"/>
  <c r="T19" i="18"/>
  <c r="G85" i="18"/>
  <c r="J25" i="18"/>
  <c r="H231" i="18"/>
  <c r="K239" i="18"/>
  <c r="L92" i="18"/>
  <c r="M92" i="18" s="1"/>
  <c r="L105" i="18"/>
  <c r="M105" i="18" s="1"/>
  <c r="L117" i="18"/>
  <c r="M117" i="18" s="1"/>
  <c r="L139" i="18"/>
  <c r="M139" i="18" s="1"/>
  <c r="L172" i="18"/>
  <c r="M172" i="18" s="1"/>
  <c r="L188" i="18"/>
  <c r="M188" i="18" s="1"/>
  <c r="L225" i="18"/>
  <c r="M225" i="18" s="1"/>
  <c r="L239" i="18"/>
  <c r="M239" i="18" s="1"/>
  <c r="H11" i="18"/>
  <c r="K12" i="18"/>
  <c r="T12" i="18"/>
  <c r="K21" i="18"/>
  <c r="T21" i="18"/>
  <c r="J18" i="18"/>
  <c r="T14" i="18"/>
  <c r="J11" i="18"/>
  <c r="K14" i="18"/>
  <c r="L26" i="18"/>
  <c r="M26" i="18" s="1"/>
  <c r="J85" i="18"/>
  <c r="L198" i="18"/>
  <c r="L222" i="18"/>
  <c r="K208" i="18"/>
  <c r="J207" i="18"/>
  <c r="K207" i="18" s="1"/>
  <c r="L68" i="18"/>
  <c r="M68" i="18" s="1"/>
  <c r="L185" i="18"/>
  <c r="T130" i="18"/>
  <c r="F231" i="18"/>
  <c r="O75" i="5"/>
  <c r="O40" i="5"/>
  <c r="O58" i="5"/>
  <c r="O61" i="5"/>
  <c r="F14" i="10"/>
  <c r="G21" i="10"/>
  <c r="K64" i="5"/>
  <c r="G20" i="10"/>
  <c r="E42" i="5"/>
  <c r="D15" i="10"/>
  <c r="E23" i="10"/>
  <c r="I27" i="5"/>
  <c r="O64" i="5"/>
  <c r="O35" i="21"/>
  <c r="K130" i="18"/>
  <c r="J125" i="18"/>
  <c r="J231" i="18"/>
  <c r="K232" i="18"/>
  <c r="F13" i="10" l="1"/>
  <c r="P53" i="19"/>
  <c r="L53" i="19"/>
  <c r="R12" i="19"/>
  <c r="I11" i="19"/>
  <c r="J12" i="19"/>
  <c r="K10" i="19"/>
  <c r="K9" i="19" s="1"/>
  <c r="K8" i="19" s="1"/>
  <c r="P48" i="19"/>
  <c r="L48" i="19"/>
  <c r="L10" i="19" s="1"/>
  <c r="G10" i="19"/>
  <c r="S10" i="19" s="1"/>
  <c r="S48" i="19"/>
  <c r="J48" i="19"/>
  <c r="H9" i="19"/>
  <c r="H8" i="19" s="1"/>
  <c r="W207" i="21"/>
  <c r="O207" i="21"/>
  <c r="V211" i="21"/>
  <c r="O211" i="21"/>
  <c r="H33" i="10" s="1"/>
  <c r="O215" i="21"/>
  <c r="H34" i="10" s="1"/>
  <c r="O27" i="5"/>
  <c r="Q31" i="5"/>
  <c r="W215" i="21"/>
  <c r="V215" i="21"/>
  <c r="G63" i="19"/>
  <c r="J64" i="19"/>
  <c r="P64" i="19"/>
  <c r="S64" i="19"/>
  <c r="L64" i="19"/>
  <c r="I177" i="18"/>
  <c r="U177" i="18" s="1"/>
  <c r="X22" i="10"/>
  <c r="F23" i="10"/>
  <c r="V107" i="21"/>
  <c r="V207" i="21"/>
  <c r="I212" i="18"/>
  <c r="U212" i="18" s="1"/>
  <c r="I146" i="18"/>
  <c r="U146" i="18" s="1"/>
  <c r="I191" i="18"/>
  <c r="U191" i="18" s="1"/>
  <c r="U85" i="18"/>
  <c r="K162" i="18"/>
  <c r="I125" i="18"/>
  <c r="U130" i="18"/>
  <c r="I171" i="18"/>
  <c r="U171" i="18" s="1"/>
  <c r="I11" i="18"/>
  <c r="U11" i="18" s="1"/>
  <c r="U213" i="18"/>
  <c r="I155" i="18"/>
  <c r="U155" i="18" s="1"/>
  <c r="U158" i="18"/>
  <c r="I207" i="18"/>
  <c r="U207" i="18" s="1"/>
  <c r="U208" i="18"/>
  <c r="T184" i="18"/>
  <c r="U18" i="18"/>
  <c r="I201" i="18"/>
  <c r="U201" i="18" s="1"/>
  <c r="I134" i="18"/>
  <c r="U135" i="18"/>
  <c r="I184" i="18"/>
  <c r="U184" i="18" s="1"/>
  <c r="I197" i="18"/>
  <c r="U197" i="18" s="1"/>
  <c r="U198" i="18"/>
  <c r="Q27" i="5"/>
  <c r="F22" i="10"/>
  <c r="Q64" i="5"/>
  <c r="F16" i="10"/>
  <c r="Q42" i="5"/>
  <c r="F19" i="10"/>
  <c r="Q49" i="5"/>
  <c r="Q142" i="21"/>
  <c r="AF142" i="21"/>
  <c r="V142" i="21"/>
  <c r="Q52" i="21"/>
  <c r="AF52" i="21"/>
  <c r="V16" i="21"/>
  <c r="Q101" i="21"/>
  <c r="AF101" i="21"/>
  <c r="V101" i="21"/>
  <c r="Q107" i="21"/>
  <c r="AF107" i="21"/>
  <c r="Q184" i="21"/>
  <c r="V184" i="21"/>
  <c r="AF184" i="21"/>
  <c r="V52" i="21"/>
  <c r="M52" i="21"/>
  <c r="W52" i="21" s="1"/>
  <c r="W53" i="21"/>
  <c r="M16" i="21"/>
  <c r="W16" i="21" s="1"/>
  <c r="W18" i="21"/>
  <c r="M107" i="21"/>
  <c r="W107" i="21" s="1"/>
  <c r="W137" i="21"/>
  <c r="M211" i="21"/>
  <c r="W213" i="21"/>
  <c r="M142" i="21"/>
  <c r="W142" i="21" s="1"/>
  <c r="W143" i="21"/>
  <c r="M184" i="21"/>
  <c r="W184" i="21" s="1"/>
  <c r="W185" i="21"/>
  <c r="I221" i="18"/>
  <c r="U225" i="18"/>
  <c r="I143" i="18"/>
  <c r="U143" i="18" s="1"/>
  <c r="U144" i="18"/>
  <c r="I231" i="18"/>
  <c r="U231" i="18" s="1"/>
  <c r="U239" i="18"/>
  <c r="I162" i="18"/>
  <c r="U162" i="18" s="1"/>
  <c r="U166" i="18"/>
  <c r="H9" i="5"/>
  <c r="H8" i="5" s="1"/>
  <c r="K31" i="5"/>
  <c r="L31" i="5" s="1"/>
  <c r="F10" i="18"/>
  <c r="T135" i="18"/>
  <c r="F23" i="18"/>
  <c r="N10" i="21"/>
  <c r="O10" i="21" s="1"/>
  <c r="K212" i="18"/>
  <c r="E23" i="18"/>
  <c r="C26" i="10" s="1"/>
  <c r="I19" i="10"/>
  <c r="L49" i="5"/>
  <c r="J19" i="10" s="1"/>
  <c r="K42" i="5"/>
  <c r="L43" i="5"/>
  <c r="E13" i="10"/>
  <c r="O31" i="5"/>
  <c r="M101" i="21"/>
  <c r="W101" i="21" s="1"/>
  <c r="O101" i="21"/>
  <c r="G33" i="10"/>
  <c r="O52" i="21"/>
  <c r="T171" i="18"/>
  <c r="E142" i="18"/>
  <c r="E90" i="18" s="1"/>
  <c r="L18" i="18"/>
  <c r="M18" i="18" s="1"/>
  <c r="T143" i="18"/>
  <c r="G23" i="18"/>
  <c r="D26" i="10" s="1"/>
  <c r="K155" i="18"/>
  <c r="L11" i="18"/>
  <c r="M11" i="18" s="1"/>
  <c r="K201" i="18"/>
  <c r="T25" i="18"/>
  <c r="O184" i="21"/>
  <c r="T146" i="18"/>
  <c r="L8" i="22"/>
  <c r="R8" i="22"/>
  <c r="P8" i="22"/>
  <c r="J27" i="5"/>
  <c r="H14" i="10" s="1"/>
  <c r="O107" i="21"/>
  <c r="N51" i="21"/>
  <c r="L51" i="21"/>
  <c r="AF51" i="21" s="1"/>
  <c r="F9" i="21"/>
  <c r="D29" i="10" s="1"/>
  <c r="D28" i="10" s="1"/>
  <c r="E30" i="10"/>
  <c r="Q10" i="21"/>
  <c r="J30" i="10" s="1"/>
  <c r="K246" i="18"/>
  <c r="E10" i="18"/>
  <c r="C25" i="10" s="1"/>
  <c r="L201" i="18"/>
  <c r="M201" i="18" s="1"/>
  <c r="K213" i="18"/>
  <c r="L197" i="18"/>
  <c r="M197" i="18" s="1"/>
  <c r="M198" i="18"/>
  <c r="L207" i="18"/>
  <c r="M207" i="18" s="1"/>
  <c r="M208" i="18"/>
  <c r="L184" i="18"/>
  <c r="M184" i="18" s="1"/>
  <c r="M185" i="18"/>
  <c r="L88" i="18"/>
  <c r="M89" i="18"/>
  <c r="L191" i="18"/>
  <c r="M191" i="18" s="1"/>
  <c r="M192" i="18"/>
  <c r="L143" i="18"/>
  <c r="M143" i="18" s="1"/>
  <c r="M144" i="18"/>
  <c r="L212" i="18"/>
  <c r="M212" i="18" s="1"/>
  <c r="M213" i="18"/>
  <c r="L221" i="18"/>
  <c r="M222" i="18"/>
  <c r="L162" i="18"/>
  <c r="M162" i="18" s="1"/>
  <c r="M166" i="18"/>
  <c r="L177" i="18"/>
  <c r="M177" i="18" s="1"/>
  <c r="M181" i="18"/>
  <c r="I22" i="10"/>
  <c r="L64" i="5"/>
  <c r="J22" i="10" s="1"/>
  <c r="L155" i="18"/>
  <c r="M155" i="18" s="1"/>
  <c r="M158" i="18"/>
  <c r="L246" i="18"/>
  <c r="M247" i="18"/>
  <c r="G36" i="10"/>
  <c r="G35" i="10" s="1"/>
  <c r="J8" i="22"/>
  <c r="H36" i="10" s="1"/>
  <c r="H35" i="10" s="1"/>
  <c r="J9" i="21"/>
  <c r="J8" i="21" s="1"/>
  <c r="H9" i="21"/>
  <c r="H8" i="21" s="1"/>
  <c r="K9" i="21"/>
  <c r="K8" i="21" s="1"/>
  <c r="O142" i="21"/>
  <c r="L106" i="21"/>
  <c r="N106" i="21"/>
  <c r="E9" i="21"/>
  <c r="E8" i="21" s="1"/>
  <c r="C28" i="10" s="1"/>
  <c r="I9" i="21"/>
  <c r="I8" i="21" s="1"/>
  <c r="G51" i="21"/>
  <c r="G106" i="21"/>
  <c r="J31" i="5"/>
  <c r="H13" i="10" s="1"/>
  <c r="F11" i="10"/>
  <c r="F9" i="5"/>
  <c r="D10" i="10" s="1"/>
  <c r="G13" i="10"/>
  <c r="G10" i="5"/>
  <c r="G9" i="5" s="1"/>
  <c r="O42" i="5"/>
  <c r="J42" i="5"/>
  <c r="H16" i="10" s="1"/>
  <c r="G16" i="10"/>
  <c r="E16" i="10"/>
  <c r="L231" i="18"/>
  <c r="M231" i="18" s="1"/>
  <c r="G142" i="18"/>
  <c r="G90" i="18" s="1"/>
  <c r="D27" i="10" s="1"/>
  <c r="K171" i="18"/>
  <c r="G10" i="18"/>
  <c r="D25" i="10" s="1"/>
  <c r="K25" i="18"/>
  <c r="F142" i="18"/>
  <c r="F90" i="18" s="1"/>
  <c r="L135" i="18"/>
  <c r="M135" i="18" s="1"/>
  <c r="L125" i="18"/>
  <c r="K177" i="18"/>
  <c r="K221" i="18"/>
  <c r="T162" i="18"/>
  <c r="J24" i="18"/>
  <c r="K24" i="18" s="1"/>
  <c r="I25" i="18"/>
  <c r="K220" i="18"/>
  <c r="K191" i="18"/>
  <c r="L146" i="18"/>
  <c r="M146" i="18" s="1"/>
  <c r="L171" i="18"/>
  <c r="M171" i="18" s="1"/>
  <c r="H85" i="18"/>
  <c r="H23" i="18" s="1"/>
  <c r="E26" i="10" s="1"/>
  <c r="K88" i="18"/>
  <c r="T88" i="18"/>
  <c r="T177" i="18"/>
  <c r="T155" i="18"/>
  <c r="J134" i="18"/>
  <c r="K134" i="18" s="1"/>
  <c r="K135" i="18"/>
  <c r="L25" i="18"/>
  <c r="H142" i="18"/>
  <c r="H90" i="18" s="1"/>
  <c r="K184" i="18"/>
  <c r="K245" i="18"/>
  <c r="J244" i="18"/>
  <c r="K244" i="18" s="1"/>
  <c r="K18" i="18"/>
  <c r="T18" i="18"/>
  <c r="J142" i="18"/>
  <c r="K11" i="18"/>
  <c r="J10" i="18"/>
  <c r="L134" i="18"/>
  <c r="M134" i="18" s="1"/>
  <c r="H10" i="18"/>
  <c r="E25" i="10" s="1"/>
  <c r="T11" i="18"/>
  <c r="G14" i="10"/>
  <c r="I10" i="5"/>
  <c r="E9" i="5"/>
  <c r="C16" i="10"/>
  <c r="T125" i="18"/>
  <c r="K125" i="18"/>
  <c r="J91" i="18"/>
  <c r="K231" i="18"/>
  <c r="C27" i="10" l="1"/>
  <c r="C27" i="29"/>
  <c r="G9" i="19"/>
  <c r="S9" i="19" s="1"/>
  <c r="J11" i="19"/>
  <c r="R11" i="19"/>
  <c r="I10" i="19"/>
  <c r="O106" i="21"/>
  <c r="Q10" i="5"/>
  <c r="V106" i="21"/>
  <c r="I10" i="18"/>
  <c r="F25" i="10" s="1"/>
  <c r="L9" i="19"/>
  <c r="F9" i="18"/>
  <c r="U134" i="18"/>
  <c r="I91" i="18"/>
  <c r="U91" i="18" s="1"/>
  <c r="U125" i="18"/>
  <c r="F10" i="10"/>
  <c r="F9" i="10"/>
  <c r="V51" i="21"/>
  <c r="M10" i="21"/>
  <c r="W10" i="21" s="1"/>
  <c r="Q106" i="21"/>
  <c r="J32" i="10" s="1"/>
  <c r="AF106" i="21"/>
  <c r="G30" i="10"/>
  <c r="V10" i="21"/>
  <c r="F33" i="10"/>
  <c r="W211" i="21"/>
  <c r="M106" i="21"/>
  <c r="W106" i="21" s="1"/>
  <c r="I220" i="18"/>
  <c r="U220" i="18" s="1"/>
  <c r="U221" i="18"/>
  <c r="I142" i="18"/>
  <c r="I24" i="18"/>
  <c r="U25" i="18"/>
  <c r="K10" i="5"/>
  <c r="K9" i="5" s="1"/>
  <c r="H30" i="10"/>
  <c r="F8" i="21"/>
  <c r="L10" i="18"/>
  <c r="M10" i="18" s="1"/>
  <c r="J25" i="10" s="1"/>
  <c r="L42" i="5"/>
  <c r="J16" i="10" s="1"/>
  <c r="I16" i="10"/>
  <c r="M51" i="21"/>
  <c r="G9" i="21"/>
  <c r="G8" i="21" s="1"/>
  <c r="C29" i="10"/>
  <c r="G31" i="10"/>
  <c r="T142" i="18"/>
  <c r="G32" i="10"/>
  <c r="Q51" i="21"/>
  <c r="J31" i="10" s="1"/>
  <c r="E31" i="10"/>
  <c r="O51" i="21"/>
  <c r="H31" i="10" s="1"/>
  <c r="L91" i="18"/>
  <c r="M91" i="18" s="1"/>
  <c r="M125" i="18"/>
  <c r="T85" i="18"/>
  <c r="G9" i="18"/>
  <c r="D24" i="10" s="1"/>
  <c r="L220" i="18"/>
  <c r="M220" i="18" s="1"/>
  <c r="M221" i="18"/>
  <c r="L85" i="18"/>
  <c r="M85" i="18" s="1"/>
  <c r="M88" i="18"/>
  <c r="N9" i="21"/>
  <c r="J23" i="18"/>
  <c r="T23" i="18" s="1"/>
  <c r="T24" i="18"/>
  <c r="K142" i="18"/>
  <c r="L142" i="18"/>
  <c r="M142" i="18" s="1"/>
  <c r="L24" i="18"/>
  <c r="M25" i="18"/>
  <c r="L245" i="18"/>
  <c r="M246" i="18"/>
  <c r="H32" i="10"/>
  <c r="E32" i="10"/>
  <c r="L9" i="21"/>
  <c r="AF9" i="21" s="1"/>
  <c r="J10" i="5"/>
  <c r="H11" i="10" s="1"/>
  <c r="F8" i="5"/>
  <c r="D9" i="10" s="1"/>
  <c r="E11" i="10"/>
  <c r="G8" i="5"/>
  <c r="E10" i="10"/>
  <c r="J90" i="18"/>
  <c r="G27" i="10" s="1"/>
  <c r="T134" i="18"/>
  <c r="E9" i="18"/>
  <c r="K85" i="18"/>
  <c r="H9" i="18"/>
  <c r="E24" i="10" s="1"/>
  <c r="E27" i="10"/>
  <c r="G25" i="10"/>
  <c r="K10" i="18"/>
  <c r="H25" i="10" s="1"/>
  <c r="C10" i="10"/>
  <c r="E8" i="5"/>
  <c r="C9" i="10" s="1"/>
  <c r="G11" i="10"/>
  <c r="O10" i="5"/>
  <c r="I9" i="5"/>
  <c r="T91" i="18"/>
  <c r="K91" i="18"/>
  <c r="C24" i="10" l="1"/>
  <c r="C8" i="10" s="1"/>
  <c r="C24" i="29"/>
  <c r="C8" i="29" s="1"/>
  <c r="J10" i="19"/>
  <c r="I9" i="19"/>
  <c r="R10" i="19"/>
  <c r="G8" i="19"/>
  <c r="F30" i="10"/>
  <c r="U10" i="18"/>
  <c r="Q9" i="5"/>
  <c r="S8" i="19"/>
  <c r="L8" i="19"/>
  <c r="F32" i="10"/>
  <c r="I11" i="10"/>
  <c r="L10" i="5"/>
  <c r="J11" i="10" s="1"/>
  <c r="V9" i="21"/>
  <c r="F31" i="10"/>
  <c r="W51" i="21"/>
  <c r="I90" i="18"/>
  <c r="U142" i="18"/>
  <c r="I23" i="18"/>
  <c r="U24" i="18"/>
  <c r="L9" i="5"/>
  <c r="J10" i="10" s="1"/>
  <c r="K8" i="5"/>
  <c r="I9" i="10" s="1"/>
  <c r="I10" i="10"/>
  <c r="I25" i="10"/>
  <c r="M9" i="21"/>
  <c r="W9" i="21" s="1"/>
  <c r="O9" i="21"/>
  <c r="H29" i="10" s="1"/>
  <c r="G26" i="10"/>
  <c r="G29" i="10"/>
  <c r="N8" i="21"/>
  <c r="Q9" i="21"/>
  <c r="J29" i="10" s="1"/>
  <c r="K23" i="18"/>
  <c r="H26" i="10" s="1"/>
  <c r="D8" i="10"/>
  <c r="T90" i="18"/>
  <c r="K90" i="18"/>
  <c r="H27" i="10" s="1"/>
  <c r="J9" i="18"/>
  <c r="L23" i="18"/>
  <c r="M24" i="18"/>
  <c r="L244" i="18"/>
  <c r="M245" i="18"/>
  <c r="E29" i="10"/>
  <c r="L8" i="21"/>
  <c r="AF8" i="21" s="1"/>
  <c r="E9" i="10"/>
  <c r="I8" i="5"/>
  <c r="O9" i="5"/>
  <c r="J9" i="5"/>
  <c r="H10" i="10" s="1"/>
  <c r="G10" i="10"/>
  <c r="I8" i="19" l="1"/>
  <c r="R9" i="19"/>
  <c r="J9" i="19"/>
  <c r="O8" i="21"/>
  <c r="Q8" i="5"/>
  <c r="J4" i="25"/>
  <c r="K4" i="25" s="1"/>
  <c r="X10" i="10"/>
  <c r="M10" i="10"/>
  <c r="V8" i="21"/>
  <c r="F27" i="10"/>
  <c r="U90" i="18"/>
  <c r="F26" i="10"/>
  <c r="U23" i="18"/>
  <c r="I9" i="18"/>
  <c r="L8" i="5"/>
  <c r="J9" i="10" s="1"/>
  <c r="F29" i="10"/>
  <c r="M8" i="21"/>
  <c r="W8" i="21" s="1"/>
  <c r="G28" i="10"/>
  <c r="G24" i="10"/>
  <c r="E28" i="10"/>
  <c r="E8" i="10" s="1"/>
  <c r="Q8" i="21"/>
  <c r="J28" i="10" s="1"/>
  <c r="P2" i="18"/>
  <c r="K9" i="18"/>
  <c r="H24" i="10" s="1"/>
  <c r="T9" i="18"/>
  <c r="M23" i="18"/>
  <c r="J26" i="10" s="1"/>
  <c r="I26" i="10"/>
  <c r="M244" i="18"/>
  <c r="L90" i="18"/>
  <c r="H28" i="10"/>
  <c r="T8" i="10"/>
  <c r="G9" i="10"/>
  <c r="J8" i="5"/>
  <c r="H9" i="10" s="1"/>
  <c r="O8" i="5"/>
  <c r="R8" i="19" l="1"/>
  <c r="J8" i="19"/>
  <c r="X9" i="10"/>
  <c r="F24" i="10"/>
  <c r="U9" i="18"/>
  <c r="F28" i="10"/>
  <c r="M90" i="18"/>
  <c r="J27" i="10" s="1"/>
  <c r="I27" i="10"/>
  <c r="L9" i="18"/>
  <c r="T9" i="10"/>
  <c r="G8" i="10"/>
  <c r="P8" i="10" s="1"/>
  <c r="H8" i="10" l="1"/>
  <c r="M7" i="10"/>
  <c r="F8" i="10"/>
  <c r="I24" i="10"/>
  <c r="I8" i="10" s="1"/>
  <c r="J8" i="10" s="1"/>
  <c r="M9" i="18"/>
  <c r="J24" i="10" s="1"/>
  <c r="K7" i="28"/>
  <c r="H7"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trannamdt1</author>
  </authors>
  <commentList>
    <comment ref="J14" authorId="0" shapeId="0" xr:uid="{AF480FED-0C88-45C1-8F2E-548009424E77}">
      <text>
        <r>
          <rPr>
            <b/>
            <sz val="8"/>
            <color indexed="81"/>
            <rFont val="Tahoma"/>
            <family val="2"/>
          </rPr>
          <t>trannamdt1:</t>
        </r>
        <r>
          <rPr>
            <sz val="8"/>
            <color indexed="81"/>
            <rFont val="Tahoma"/>
            <family val="2"/>
          </rPr>
          <t xml:space="preserve">
</t>
        </r>
      </text>
    </comment>
    <comment ref="E32" authorId="0" shapeId="0" xr:uid="{9490499D-758E-482F-A926-D0C09BE6913F}">
      <text>
        <r>
          <rPr>
            <b/>
            <sz val="8"/>
            <color indexed="81"/>
            <rFont val="Tahoma"/>
            <family val="2"/>
          </rPr>
          <t>trannamdt1:</t>
        </r>
        <r>
          <rPr>
            <sz val="8"/>
            <color indexed="81"/>
            <rFont val="Tahoma"/>
            <family val="2"/>
          </rPr>
          <t xml:space="preserve">
</t>
        </r>
      </text>
    </comment>
    <comment ref="E34" authorId="0" shapeId="0" xr:uid="{DCFDC03D-8B07-45AB-A5C2-822DABD58DD6}">
      <text>
        <r>
          <rPr>
            <b/>
            <sz val="8"/>
            <color indexed="81"/>
            <rFont val="Tahoma"/>
            <family val="2"/>
          </rPr>
          <t>trannamdt1:</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2" authorId="0" shapeId="0" xr:uid="{887760FD-6C9B-4CD5-A347-97C356F3A675}">
      <text>
        <r>
          <rPr>
            <b/>
            <sz val="9"/>
            <color indexed="81"/>
            <rFont val="Tahoma"/>
            <family val="2"/>
          </rPr>
          <t>admin:</t>
        </r>
        <r>
          <rPr>
            <sz val="9"/>
            <color indexed="81"/>
            <rFont val="Tahoma"/>
            <family val="2"/>
          </rPr>
          <t xml:space="preserve">
dự toán tabmis khác</t>
        </r>
      </text>
    </comment>
  </commentList>
</comments>
</file>

<file path=xl/sharedStrings.xml><?xml version="1.0" encoding="utf-8"?>
<sst xmlns="http://schemas.openxmlformats.org/spreadsheetml/2006/main" count="2061" uniqueCount="689">
  <si>
    <t>TT</t>
  </si>
  <si>
    <t xml:space="preserve">Danh mục Dự án </t>
  </si>
  <si>
    <t>Ghi chú</t>
  </si>
  <si>
    <t>TMĐT</t>
  </si>
  <si>
    <t>Xây dựng nghĩa trang nhân dân thị trấn Krông Klang</t>
  </si>
  <si>
    <t>Thiết bị hệ thống công sự trận địa, Sở chỉ huy trong diễn tập phòng thủ huyện Đakrông (Giai đoạn 2)</t>
  </si>
  <si>
    <t>ĐVT: Triệu đồng</t>
  </si>
  <si>
    <t>NGÂN SÁCH HUYỆN</t>
  </si>
  <si>
    <t>Nguồn XDCB TT huyện Quản lý</t>
  </si>
  <si>
    <t>I</t>
  </si>
  <si>
    <t>Dự án hoàn thành, chuyển tiếp</t>
  </si>
  <si>
    <t>*</t>
  </si>
  <si>
    <t>Công trình KCM</t>
  </si>
  <si>
    <t>A</t>
  </si>
  <si>
    <t>II</t>
  </si>
  <si>
    <t>III</t>
  </si>
  <si>
    <t>Dự án chuyển tiếp, trả nợ DA hoàn thành</t>
  </si>
  <si>
    <t>Dự án KCM</t>
  </si>
  <si>
    <t>IV</t>
  </si>
  <si>
    <t>NGÂN SÁCH TỈNH</t>
  </si>
  <si>
    <t>C</t>
  </si>
  <si>
    <t>D</t>
  </si>
  <si>
    <t>NGÂN SÁCH TRUNG ƯƠNG</t>
  </si>
  <si>
    <t>B</t>
  </si>
  <si>
    <t>Hoàn thành BGĐVSD</t>
  </si>
  <si>
    <t>Phụ lục 1</t>
  </si>
  <si>
    <t>Phụ lục 2</t>
  </si>
  <si>
    <t>Quyết định phân bổ</t>
  </si>
  <si>
    <t>Vốn bố trí</t>
  </si>
  <si>
    <t>TỔNG CỘNG</t>
  </si>
  <si>
    <t>THEO DÕI NGUỒN</t>
  </si>
  <si>
    <t>Kiểm tra</t>
  </si>
  <si>
    <t>Hỗ trợ khôi phục sản xuất nông nghiệp</t>
  </si>
  <si>
    <t>Hỗ trợ về hạ tầng thiết yếu</t>
  </si>
  <si>
    <t>Hỗ trợ dân sinh</t>
  </si>
  <si>
    <t>-</t>
  </si>
  <si>
    <t xml:space="preserve">IV </t>
  </si>
  <si>
    <t>Trung ương hỗ trợ đầu tư các công trình khẩn cấp</t>
  </si>
  <si>
    <t>Hội trường Huyện ủy, HĐND, UBND huyện Đakrông</t>
  </si>
  <si>
    <t>1.1</t>
  </si>
  <si>
    <t>1.2</t>
  </si>
  <si>
    <t xml:space="preserve">Nguồn vượt thu </t>
  </si>
  <si>
    <t>Xây dựng nhà 1 cửa xã A Vao, huyện Đakrông</t>
  </si>
  <si>
    <t>Cắm mốc thực địa theo quy hoạch giao thông thị trấn Krông Klang</t>
  </si>
  <si>
    <t>Nhà văn hóa thôn Khe Ngài, xã Đakrông</t>
  </si>
  <si>
    <t>Trụ sở xã Húc Nghì</t>
  </si>
  <si>
    <t>Nhà văn hóa xã Triệu Nguyên</t>
  </si>
  <si>
    <t>VỐN LỤT BÃO</t>
  </si>
  <si>
    <t xml:space="preserve">                   THEO DÕI RIÊNG</t>
  </si>
  <si>
    <t>Giải ngân</t>
  </si>
  <si>
    <t>Tỷ lệ (%)</t>
  </si>
  <si>
    <t>Dự kiến đến 31/12/2021</t>
  </si>
  <si>
    <t>V</t>
  </si>
  <si>
    <t>1</t>
  </si>
  <si>
    <t>Cải tạo trụ sở làm việc UBND huyện và mua sắm trang thiết bị phục vụ hội nghị trực tuyến cấp huyện, cấp xã</t>
  </si>
  <si>
    <t>Nguồn tài trợ + vốn khác</t>
  </si>
  <si>
    <t>dư vốn</t>
  </si>
  <si>
    <t>LK vốn đã bố trí đến 2021</t>
  </si>
  <si>
    <t>Kế hoạch vốn 2022</t>
  </si>
  <si>
    <t>Trả nợ đọng XDCB và quyết toán DAHT</t>
  </si>
  <si>
    <t>Thanh toán nợ đọng XDCB</t>
  </si>
  <si>
    <t>Trả nợ thẩm tra quyết toán DAHT</t>
  </si>
  <si>
    <t>1.3</t>
  </si>
  <si>
    <t>Đối ứng công trình sử dụng vốn cấp trên</t>
  </si>
  <si>
    <t>1.4</t>
  </si>
  <si>
    <t>Sửa chữa trụ sở xã A Bung</t>
  </si>
  <si>
    <t>Sân, hàng rào khuôn viên hội trường UBND huyện</t>
  </si>
  <si>
    <t>Nâng cấp, sữa chữa hệ thống nước sinh hoạt thôn Pa Hy, xã Tà Long</t>
  </si>
  <si>
    <t>Sửa chữa hệ thống nước sinh hoạt thôn A Liêng, xã Tà Rụt</t>
  </si>
  <si>
    <t>Trung tâm GDNN-GDTX; Hạng mục: Hoàn thiện 1 phòng học bộ môn</t>
  </si>
  <si>
    <t>San tạo mặt bằng để đấu giá quyền sử dụng đất hai bên tuyến đường T4 thị trấn Krông Klang (giai đoạn 2)</t>
  </si>
  <si>
    <t>Phụ lục 3</t>
  </si>
  <si>
    <t>Nâng cấp tuyến đường nội thị thị trấn Krông Klang; Hạng mục: Tuyến nối đường Hùng Vương và tuyến nối đường Lê Duẩn</t>
  </si>
  <si>
    <t>Sửa chữa Trụ sở cơ quan MTTQVN huyện; Hạng mục: Nhà 2 tầng, sân, hàng rào.</t>
  </si>
  <si>
    <t>sn</t>
  </si>
  <si>
    <t>Di dời hạ tầng kỹ thuật để sửa chữa hư hỏng nền, mặt đường và hệ thống thoát nước đoạn Km39+600-Km42+00 (qua thị trấn Krông Klang) Quốc lộ 9, tỉnh Quảng Trị</t>
  </si>
  <si>
    <t>Sửa chữa trụ sở xã Đakrông</t>
  </si>
  <si>
    <t>Sửa chữa trụ sở xã Hướng Hiệp</t>
  </si>
  <si>
    <t>Sửa chữa trụ sở xã Ba Lòng</t>
  </si>
  <si>
    <t>Nhà nội trú trường THPT Đakrông</t>
  </si>
  <si>
    <t>Trụ sở UBND xã Triệu Nguyên, huyện Đakrông</t>
  </si>
  <si>
    <t>Chợ trung tâm khu vực Tà rụt, huyện Đakrông</t>
  </si>
  <si>
    <t>Hệ thống điện chiếu sáng đường Lê Lợi, thị trấn Krông Klang, huyện Đakrông</t>
  </si>
  <si>
    <t>Tạo quỹ đất xây dựng Khu đô thị mới tại khóm A Rồng, Khe Xong thị trấn Krông Klang, huyện Đakrông (giai đoạn 1)</t>
  </si>
  <si>
    <t xml:space="preserve">Tạo quỹ đất xây dựng Khu dân cư mới tại khóm A Rồng, Khe Xong phía Đông Bắc đường Xuân Diệu, thị trấn Krông Klang, huyện Đakrông </t>
  </si>
  <si>
    <t>Nguồn vốn</t>
  </si>
  <si>
    <t>Tình hình thực hiện</t>
  </si>
  <si>
    <t>QĐ 4792/QĐ-UBND ngày  22/12/20211</t>
  </si>
  <si>
    <t>QĐ 199/QĐ-UBND ngày  16/02/2022</t>
  </si>
  <si>
    <t>QĐ 4819/QĐ-UBND ngày  31/12/2021: 1800trđ
QĐ 199/QĐ-UBND ngày  16/02/2022: 2000trđ</t>
  </si>
  <si>
    <t>QĐ 4522/QĐ-UBND ngày  30/12/2021</t>
  </si>
  <si>
    <t xml:space="preserve">Di dời hạ tầng kỹ thuật để sửa chữa hư hỏng nền, mặt đường và hệ thống thoát nước đoạn Km39+600-Km42+00 (qua thị trấn Krông Klang) Quốc lộ 9, tỉnh Quảng Trị </t>
  </si>
  <si>
    <t>Trường Tiểu học thị trấn Krông Klang. HM: Nhà 08 phòng học</t>
  </si>
  <si>
    <t>Trường THCS thị trấn Krông Klang. HM: Nhà hiệu bộ</t>
  </si>
  <si>
    <t>Sân vận động huyện Đakrông (giai đoạn 1)</t>
  </si>
  <si>
    <t>Trường PTDT bán trú THCS Ba Nang, thôn Tà Rẹc</t>
  </si>
  <si>
    <t>Nhà VH thiếu nhi huyện</t>
  </si>
  <si>
    <t>Đường từ nhà khách Uỷ ban đến TTBD chính trị huyện</t>
  </si>
  <si>
    <t xml:space="preserve">Sửa chữa hệ thống thủy lợi Khe Luồi, xã Mò Ó, huyện Đakrông. </t>
  </si>
  <si>
    <t>Trường tiểu học Tà Long</t>
  </si>
  <si>
    <t>Trường Tiểu học thị trấn Krông Klang; Hạng mục: Nhà 02 tầng 08 phòng học</t>
  </si>
  <si>
    <t>Nhà văn hóa thôn A Ngo, Xã A Ngo</t>
  </si>
  <si>
    <t>Nhà Văn hóa thôn Cợp, xã Húc Nghì</t>
  </si>
  <si>
    <t>Duy tu, sửa chữa đường nội thôn A Pun, xã Tà Rụt</t>
  </si>
  <si>
    <t>Duy tu sửa chữa nước sinh hoạt thôn A Pun, thôn Tà Rụt 1, Tà Rụt 2, Tà Rụt 3, xã Tà Rụt, huyện Đakrông</t>
  </si>
  <si>
    <t>Đường giao thông thôn Chân Rò, xã Đakrông (Km0+750,11-Km1+300)</t>
  </si>
  <si>
    <t>Đường giao thông TTCX đi Tà Mên, xã Ba Nang, huyện Đakrông</t>
  </si>
  <si>
    <t>Nâng cấp tuyến đường nội thôn Ruộng xã Hướng Hiệp, huyện Đakrông</t>
  </si>
  <si>
    <t>Duy tu sữa chữa nước sinh hoạt thôn A Vao, xã A Vao, huyện đakrông</t>
  </si>
  <si>
    <t>Đường liên thôn Xa Lăng - Chân Rò, xã Đakrông, huyện Đakrông</t>
  </si>
  <si>
    <t>Thiết bị hệ thống công sự trận địa, sở chỉ huy trong diễn tập khu vực phòng thủ huyện Đakrông</t>
  </si>
  <si>
    <t>Kho tạm giữ tang vật vi phạm hành chinh của công an huyện Đakrông</t>
  </si>
  <si>
    <t>Sữa chữa tường rào, cổng công an huyện Đakrông</t>
  </si>
  <si>
    <t>Đường giao thông thôn Xa Đăng xã Đakrông</t>
  </si>
  <si>
    <t>Duy tu, sữa chữa đừờng liên thôn La Tó - Cợp, xã Húc Nghì</t>
  </si>
  <si>
    <t>Nhà văn hóa thôn Tà Rụt 2 xã Tà Rụt</t>
  </si>
  <si>
    <t>Cải tạo, nâng cấp trụ sở UBND xã Mò Ó, huyện Đakrông</t>
  </si>
  <si>
    <t>Sữa chữa, khắc phục thiên tai đường giao thông nông thôn thôn Khe Van, Ruộng và Xa Vi, xã Hướng Hiệp, huyện Đakrông</t>
  </si>
  <si>
    <t>Trường tiểu học số 2 Hướng Hiệp. HM: Nhà 4 phòng học (tầng 2)</t>
  </si>
  <si>
    <t>Trường mầm non số 2 Đakrông, thôn Tà Lêng; Hạng mục: Nhà 02 phòng học</t>
  </si>
  <si>
    <t>Bê tông hóa đường nội thôn Na Nẫm (tuyến 1) xã Triệu Nguyên</t>
  </si>
  <si>
    <t>Bê tông hóa đường nội thôn Na Nẫm (tuyến 2) xã Triệu Nguyên</t>
  </si>
  <si>
    <t>Sân thể thao, điểm vui chơi giải trí cho người già và trẻ em</t>
  </si>
  <si>
    <t>Khu thể thao và công trình phụ trợ thôn Na Nẫm, Xuân Lâm</t>
  </si>
  <si>
    <t>Nhà văn hóa 02 thôn Xuân Lâm và Na Nẫm</t>
  </si>
  <si>
    <t>QĐ 32/QĐ-UBND ngày 12/1/2022</t>
  </si>
  <si>
    <t>Đang thi công</t>
  </si>
  <si>
    <t>Công trình hoàn thành, chuyển tiếp</t>
  </si>
  <si>
    <t>Chủ đầu tư/QLDA</t>
  </si>
  <si>
    <t>Công an huyện</t>
  </si>
  <si>
    <t>Ban CHQS huyện</t>
  </si>
  <si>
    <t>VP HĐND và UBND huyện</t>
  </si>
  <si>
    <t>Ban QLDAĐTXD&amp;PTQĐ</t>
  </si>
  <si>
    <t>UBND xã Đakrông</t>
  </si>
  <si>
    <t>UBND xã Triệu Nguyên</t>
  </si>
  <si>
    <t>Chưa phân bổ</t>
  </si>
  <si>
    <t>Phòng kinh tế và Hạ tầng</t>
  </si>
  <si>
    <t>Phòng Kinh tế và Hạ tầng</t>
  </si>
  <si>
    <t>QĐ 828/QĐ-UBND ngày  21/03/2022 huyện</t>
  </si>
  <si>
    <t>Điều chỉnh, bổ sung Quy hoạch chung xây dựng thị trấn Krông Klang, huyện Đakrông đến năm 2035, định hướng đến năm 2040</t>
  </si>
  <si>
    <t>Trụ sở xã A Ngo; HM: Nhà làm việc, phòng 1 cửa và các hạng mục phụ trợ</t>
  </si>
  <si>
    <t>Đang điều chỉnh dự toán</t>
  </si>
  <si>
    <t>Mã dự án</t>
  </si>
  <si>
    <t>GD-ĐT</t>
  </si>
  <si>
    <t>ĐTPT nguồn cân đối tỉnh quản lý</t>
  </si>
  <si>
    <t>SDĐ</t>
  </si>
  <si>
    <t>Xổ số KT</t>
  </si>
  <si>
    <t>Vốn cân đối , phân bổ 16/3</t>
  </si>
  <si>
    <t>BGĐVSD</t>
  </si>
  <si>
    <t>Đã phê duyệt BCKTKT, đang thực hiện các bước tiếp theo</t>
  </si>
  <si>
    <t>(Kèm theo Báo cáo số          /UBND-TH ngày        /      /2022 của UBND huyện Đakrông)</t>
  </si>
  <si>
    <t>QĐ 1153 ngày 28/4/2022</t>
  </si>
  <si>
    <t>QĐ 1766/QĐ-UBND ngày  26/05/2022</t>
  </si>
  <si>
    <t>Ngân sách tỉnh</t>
  </si>
  <si>
    <t>Ngân sách huyện</t>
  </si>
  <si>
    <t>2</t>
  </si>
  <si>
    <t>đa dieuchinh tong mức</t>
  </si>
  <si>
    <t>Đang triển khai</t>
  </si>
  <si>
    <t>Bê tông hóa đường giao thông nội đồng thôn Xuân Lâm, xã Triệu Nguyên</t>
  </si>
  <si>
    <t>Vốn tỉnh thực hiện NTM, phân bổ 29/5</t>
  </si>
  <si>
    <t>Bổ sung có mục tiêu (+NST hỗ trợ 2021-vốn SN)</t>
  </si>
  <si>
    <t>Chi bổ sung có mục tiêu-Vốn SN</t>
  </si>
  <si>
    <t>Ngân sách Tỉnh</t>
  </si>
  <si>
    <t>Tổng cộng</t>
  </si>
  <si>
    <t>Giải ngân đến 30/8/2022</t>
  </si>
  <si>
    <t>Tỉ lệ giải ngân đến 30/8/2022 (%)</t>
  </si>
  <si>
    <t>Chương trình MTQG giảm nghèo bền vững</t>
  </si>
  <si>
    <t>CT MTQG phát triển kinh tế - xã hội vùng đồng bào dân tộc thiểu số và miền núi</t>
  </si>
  <si>
    <t>Nâng cấp một số tuyến đường nội thị, hệ thống chiếu sáng khu vực trung tâm huyện Đakrông (giai đoạn 2)</t>
  </si>
  <si>
    <t>Nguồn đổi đất lấy CSHT (ĐÃ THÔNG QUA HỘI ĐỒNG)</t>
  </si>
  <si>
    <t>Tông cộng</t>
  </si>
  <si>
    <t>TRÍCH ĐO ĐỊA CHÍNH (SU NGHIEP)</t>
  </si>
  <si>
    <t>Phòng Tài nguyên</t>
  </si>
  <si>
    <t>THANH TOÁN KHOI LƯỢNG HOÀN THÀNH (THÔNG QUA HỘI ĐỒNG)</t>
  </si>
  <si>
    <t>UBND xã A Ngo</t>
  </si>
  <si>
    <t>UBND xã Ba Lòng</t>
  </si>
  <si>
    <t>Sân, hàng rào Nhà Văn hóa 5 thôn, xã Ba Lòng</t>
  </si>
  <si>
    <t>Hệ thống điện khu sản xuất xã Triệu Nguyên</t>
  </si>
  <si>
    <t>UBND xã Mò Ó</t>
  </si>
  <si>
    <t>UBND xã A Bung</t>
  </si>
  <si>
    <t>UBND xã A Vao</t>
  </si>
  <si>
    <t>UBND xã Ba Nang</t>
  </si>
  <si>
    <t>UBND xã Tà Rụt</t>
  </si>
  <si>
    <t>UBND xã Tà Long</t>
  </si>
  <si>
    <t>UBND xã Hướng Hiệp</t>
  </si>
  <si>
    <t>UBND xã Húc Nghì</t>
  </si>
  <si>
    <t>Dự án 1. Hỗ trợ đầu tư phát triển hạ tầng kinh tế - xã hội các huyện nghèo, các xã ĐBKK vùng bãi ngang, ven biển và hải đảo</t>
  </si>
  <si>
    <t>Tiểu dự án 1: Hỗ trợ đầu tư phát triển hạ tầng kinh tế - xã hội các huyện nghèo, xã đặc biệt khó khăn vùng bãi ngang, ven biển và hải đảo</t>
  </si>
  <si>
    <t xml:space="preserve">Đường giao thông nội đồng thôn Mai Sơn, xã Ba Lòng; HM: tuyến đường và cầu </t>
  </si>
  <si>
    <t>Sửa chữa đường giao thôn liên thôn Đá Nổi đến Tân Xá, xã Ba Lòng</t>
  </si>
  <si>
    <t>Sửa chữa nâng cấp hệ thống thủy lợi Khe Tà Lang, xã Ba Lòng</t>
  </si>
  <si>
    <t>Nâng cấp, sửa chửa hệ thống thuỷ lợi Khe Lưởi câu xã Mò Ó</t>
  </si>
  <si>
    <t>Đường nội đồng thôn Xuân Lâm xã Triệu Nguyên</t>
  </si>
  <si>
    <t>Nâng cấp, sửa chữa hệ thống đường nội thôn Xuân Lâm, Na Nẫm</t>
  </si>
  <si>
    <t>Đường nội thôn Xuân Lâm: HM: Kè</t>
  </si>
  <si>
    <t xml:space="preserve">Trường MN A Bung; Hạng mục: Nhà 2 phòng học Khu vực Pi re </t>
  </si>
  <si>
    <t>Nâng cấp sửa chữa đường liên thôn A Đeng - A Ngo, xã  A Ngo (Đoạn nhà cộng đồng A Ngo đến Ngã ba A Ngo)</t>
  </si>
  <si>
    <t>Đường cấp phối Pi Rao (Thôn A La), xã A Ngo</t>
  </si>
  <si>
    <t>Đường ra khu sản xuất thôn La Lay, xã  A Ngo (Đoạn Km7)</t>
  </si>
  <si>
    <t>Đường ra khu sản xuất thôn A Đeng - A Ngo, xã  A Ngo</t>
  </si>
  <si>
    <t>Xây dựng đập dâng Kỳ Xay - A Đeng, xã  A Ngo</t>
  </si>
  <si>
    <t>Trường TH&amp;THCS A Ngo; Hạng mục: Kè, hàng rào</t>
  </si>
  <si>
    <t>Đường liên thôn A Vao - Tân Đi 2, xã A Vao (Giai đoạn 1)</t>
  </si>
  <si>
    <t>Đường ra khu sản xuất thôn Ra Ró, xã A Vao (Đoạn từ nhà Hồ Văn Lành đến rẫy ông Hồ Văn Tơn)</t>
  </si>
  <si>
    <t>Đường nội thôn ra khu sản xuất Tân Đi 3, xã A Vao (Đoạn từ cầu tràn ông Côn Lun đến rẫy Vỗ Lun)</t>
  </si>
  <si>
    <t>Cầu vượt lũ thôn A Vao, xã A Vao</t>
  </si>
  <si>
    <t>Trường MN Pa Nang; Hạng mục:  04 phòng học</t>
  </si>
  <si>
    <t>Đường giao thông nội đồng thôn Chân Rò, xã Đakrông</t>
  </si>
  <si>
    <t>Đường giao thông nội đồng thôn Ta Lềng, xã Đakrông</t>
  </si>
  <si>
    <t>Trường MN số 2 Đakrông; Hạng mục: Nhà 2 tầng 4 phòng</t>
  </si>
  <si>
    <t>Đường giao thông liên thôn điểm khu tái định cư thôn Tà Rụt 1 đến thôn A Liêng, xã Tà Rụt</t>
  </si>
  <si>
    <t>Nâng cấp nhà văn hóa 3 thôn: Vực Leng, Tà Rụt 2, A Pul; HM: Sân, hàng rào và công trình phụ trợ</t>
  </si>
  <si>
    <t>Trường tiểu học Tà Rụt; Hạng mục:  Nhà hiệu bộ</t>
  </si>
  <si>
    <t>Đường ra khu sản xuất Mạc Lu thôn Pa Hy, xã Tà Long</t>
  </si>
  <si>
    <t>Nâng cấp sửa chữa thủy lợi Pa Cha, thôn Pa Hy, xã Tà Long</t>
  </si>
  <si>
    <t>Trường MN Tà Long; Hạng mục:  Nhà 3 phòng học</t>
  </si>
  <si>
    <t>Đường giao thông nội thôn Gia Giã, xã Hướng Hiệp</t>
  </si>
  <si>
    <t>Đường giao thông nội thôn Phú An, xã Hướng Hiệp</t>
  </si>
  <si>
    <t>Nâng cấp công trình thủy lợi Chinh Hinh, xã Hướng Hiệp</t>
  </si>
  <si>
    <t>Nâng cấp hệ thống kênh mương các công trình thủy lợi xã Hướng Hiệp</t>
  </si>
  <si>
    <t>Nâng cấp, sửa chữa công trình thủy lợi thôn Cựp, xã Húc Nghì</t>
  </si>
  <si>
    <t xml:space="preserve"> Nhà Văn hóa truyền thống các dân tộc Vân Kiều, Pa Cô huyện; HM: Sửa chữa lại mái ngói, nền nhà tầng 1, chống thấm, xây dựng cổng, lát gạch tại sân</t>
  </si>
  <si>
    <t>Cải tạo, nâng cấp cơ sở vật chất đài PTTH huyện</t>
  </si>
  <si>
    <t>Nâng cấp, sửa chữa nước sinh hoạt thôn Khe Luồi, xã Mò Ó</t>
  </si>
  <si>
    <t>Nâng cấp, sửa chữa hệ thống nước sinh hoạt Tà Lang, xã Ba Lòng</t>
  </si>
  <si>
    <t>Trường tiểu học thị trấn Krông Klang; Hạng mục:  Nhà hiệu bộ</t>
  </si>
  <si>
    <t>Trường tiểu học thị trấn Krông Klang; Hạng mục:  Nhà 04 phòng học</t>
  </si>
  <si>
    <t>Dự án 4: Phát triển giáo dục nghề nghiệp, việc làm bền vững</t>
  </si>
  <si>
    <t>Tiểu dự án 1: Phát triển giáo dục nghề nghiệp vùng nghèo, vùng khó khăn</t>
  </si>
  <si>
    <t>Trung tâm GDNN-GDTX; Hạng mục: Nhà nội trú 2 tầng 6 phòng ở, Nhà hiệu bộ 2 tầng 6 phòng, 5 Phòng học bộ môn</t>
  </si>
  <si>
    <t>Tiểu dự án 3: Hỗ trợ việc làm bền vững</t>
  </si>
  <si>
    <t>Nâng cấp CSVC làm trung tâm giới thiệu việc làm (Hỗ trợ giao dịch việc làm, kết nối cung - cầu lao động̣̣)</t>
  </si>
  <si>
    <t>Chương trình MTQG phát triển KT-XH vùng ĐB DTTS&amp;MN</t>
  </si>
  <si>
    <t>Dự án 1: Giải quyết tình trạng thiếu đất ở, nhà ở, đất sản xuất, nước SH</t>
  </si>
  <si>
    <t>a)</t>
  </si>
  <si>
    <t>Hỗ trợ đất ở</t>
  </si>
  <si>
    <t>Xã Ba Nang</t>
  </si>
  <si>
    <t>Xã Tà Long</t>
  </si>
  <si>
    <t>Xã Húc Nghì</t>
  </si>
  <si>
    <t>Xã A Bung</t>
  </si>
  <si>
    <t>Xã Tà Rụt</t>
  </si>
  <si>
    <t>Xã Mò Ó</t>
  </si>
  <si>
    <t>Xã Hướng Hiệp</t>
  </si>
  <si>
    <t>Xã A Ngo</t>
  </si>
  <si>
    <t>Xã A Vao</t>
  </si>
  <si>
    <t>Xã Đakrông</t>
  </si>
  <si>
    <t>Xã Ba Lòng (2 thôn)</t>
  </si>
  <si>
    <t>b)</t>
  </si>
  <si>
    <t>Hỗ trợ nhà ở</t>
  </si>
  <si>
    <t>Xã Ba Lòng</t>
  </si>
  <si>
    <t>c)</t>
  </si>
  <si>
    <t>Hỗ trợ đất sản xuất</t>
  </si>
  <si>
    <t>d)</t>
  </si>
  <si>
    <t>Nước sinh hoạt tập trung</t>
  </si>
  <si>
    <t>Công trình cấp nước sinh hoạt thôn Pa Tầng, xã Đakrông</t>
  </si>
  <si>
    <t>Dự án 2: Quy hoạch sắp xếp, bố trí ổn định dân cư những nơi cần thiết</t>
  </si>
  <si>
    <t>Bố trí sắp xếp hộ DTTS định canh, định cư</t>
  </si>
  <si>
    <t>Định canh định cư xã Hướng Hiệp</t>
  </si>
  <si>
    <t>Định canh định cư  xã Tà Long</t>
  </si>
  <si>
    <t>Dự án 4: Đầu tư cơ sở hạ tầng thiết yếu; Tiểu dự án 1: Đầu tư cơ sở hạ tầng thiết yếu, phục vụ sản xuất, đời sống trong vùng đồng bào DTTS&amp;MN</t>
  </si>
  <si>
    <t>Cải tạo sửa chữa trạm y tế xã Hướng Hiệp</t>
  </si>
  <si>
    <t>Đường nội thôn khóm A Rồng, thị trấn Krông Klang (tuyến 1)</t>
  </si>
  <si>
    <t>Đường nội thôn khóm A Rồng, thị trấn Krông Klang (tuyến 2)</t>
  </si>
  <si>
    <t>Đường liên thôn A Luông - Cựp, xã A Bung</t>
  </si>
  <si>
    <t>Đường nội thôn La Lay, xã A Ngo</t>
  </si>
  <si>
    <t>Trường TH&amp;THCS A Ngo; Hạng mục: 02 phòng bộ môn (A Đeng)</t>
  </si>
  <si>
    <t>Nâng cấp đường nội thôn Ra Ró, xã A Vao</t>
  </si>
  <si>
    <t>Nâng cấp đường nội thôn Tân Đi 3, xã A Vao</t>
  </si>
  <si>
    <t>Đường nội thôn Vực Leng, xã Tà Rụt (Điểm cầu Vực Leng đến điểm nối đường liên thôn A Liêng đi Tà Rụt 1)</t>
  </si>
  <si>
    <t>Sửa chữa trạm Y tế Đakrông</t>
  </si>
  <si>
    <t>Đường nội thôn Vùng Kho, xã Đakrông (Đoạn vào bản mới thôn Cu Pua cũ)</t>
  </si>
  <si>
    <t>Sửa chữa, nâng cấp đường trục thôn Pa Tầng, xã Đakrông</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</si>
  <si>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</si>
  <si>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</si>
  <si>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Trường PTDT Nội trú Đakrông; HM: nhà công vụ</t>
  </si>
  <si>
    <t>VI</t>
  </si>
  <si>
    <t>Dự án 6: Bảo tồn, phát huy gía trị văn hóa truyền thống tốt đẹp của các dân tộc thiểu số gắn với phát triển du lịch</t>
  </si>
  <si>
    <t>Đầu tư xây dựng điểm đến du lịch tiêu biểu thôn KLu xã Đakrông</t>
  </si>
  <si>
    <t>Quảng trường văn hóa truyền thống các dân tộc Vân Kiều - Pa Cô thị trấn Krông Klang</t>
  </si>
  <si>
    <t>Nhà văn hóa thôn Pire 1, xã A Bung</t>
  </si>
  <si>
    <t>Nhà văn hóa thôn Pire 2, xã A Bung</t>
  </si>
  <si>
    <t>Nhà văn hóa thôn Húc Nghì, xã Húc Nghì</t>
  </si>
  <si>
    <t>Nhà văn hóa thôn Ra Pong, xã Ba Nang</t>
  </si>
  <si>
    <t>X</t>
  </si>
  <si>
    <t xml:space="preserve">Dự án 10: Truyền thông, tuyên truyền, vận động trong vùng đồng bào DTTS và MN. Kiểm tra, giám sát, đánh giá việc tổ chức triển khai thực hiện Chương trình </t>
  </si>
  <si>
    <t>Tiểu dự án 2: ứng dụng công nghệ thông tin hỗ trợ phát triển kinh tế - xã hội và đảm bảo an ninh trật tự vùng đồng bào dân tộc thiểu số và miền núi.</t>
  </si>
  <si>
    <t>Xây dựng hệ thống ứng dụng công nghệ thông tin vùng đồng bào DTTS</t>
  </si>
  <si>
    <t>UBND TT Krông Klang</t>
  </si>
  <si>
    <t>UBND Xã Đakrông</t>
  </si>
  <si>
    <t>UBND Xã Ba Nang</t>
  </si>
  <si>
    <t>UBND Xã Tà Long</t>
  </si>
  <si>
    <t>UBND Xã A Ngo</t>
  </si>
  <si>
    <t>UBND Xã Hướng Hiệp</t>
  </si>
  <si>
    <t>UBND Xã Húc Nghì</t>
  </si>
  <si>
    <t>UBND Xã A Bung</t>
  </si>
  <si>
    <t>UBND Xã Tà Rụt</t>
  </si>
  <si>
    <t>UBND Xã Mò Ó</t>
  </si>
  <si>
    <t>UBND Xã A Vao</t>
  </si>
  <si>
    <t>Phòng Dân tộc</t>
  </si>
  <si>
    <t xml:space="preserve">III </t>
  </si>
  <si>
    <t>3</t>
  </si>
  <si>
    <t xml:space="preserve">Nâng cấp tuyến đường Lê Thế Hiếu, thị trấn Krông Klang </t>
  </si>
  <si>
    <t>Kế hoạch vốn 2023</t>
  </si>
  <si>
    <t>Chợ trung tâm khu vực Tà Rụt, huyện Đakrông</t>
  </si>
  <si>
    <t>Đường nội thôn Đồng Đờng, xã Mò Ó</t>
  </si>
  <si>
    <t>Thanh toán dự án hoàn thành và quyết toán DAHT</t>
  </si>
  <si>
    <t>Xã Triệu Nguyên</t>
  </si>
  <si>
    <t>kéo dài</t>
  </si>
  <si>
    <t>Đ/C tại QĐ số 3619 ngày 28/12/22</t>
  </si>
  <si>
    <t>Bê tông hóa đường nội thôn Pire 2 (tuyến nhánh vào khu dân cư), xã A Bung</t>
  </si>
  <si>
    <t>Đường nội thôn xóm mới thôn Pa Hy, xã Tà Long</t>
  </si>
  <si>
    <t>8007260</t>
  </si>
  <si>
    <t>Nâng cấp sửa chữa hệ thống kênh mương nội đồng Trạm Bơm Đồng Đờng, xã Mò Ó</t>
  </si>
  <si>
    <t>CT MTQG XD NTM</t>
  </si>
  <si>
    <t>TONG CT</t>
  </si>
  <si>
    <t>ĐTHU</t>
  </si>
  <si>
    <t>QĐ 3517/QĐ-UBND ngày  28/12/2022</t>
  </si>
  <si>
    <t>QĐ 3643 ngày 30/12</t>
  </si>
  <si>
    <t>TÌNH HÌNH THỰC HIỆN XÂY DỰNG CƠ BẢN NĂM 2023</t>
  </si>
  <si>
    <t>Nâng cấp, mở rộng đường Trần Hưng Đạo, thị trấn Krông Klang</t>
  </si>
  <si>
    <t>+BSCMT: 800 tr đồng</t>
  </si>
  <si>
    <t>+BSCMT: 474 tr đồng</t>
  </si>
  <si>
    <t>+BSCMT: 3.840 tr đồng</t>
  </si>
  <si>
    <t>QĐ 3446/QĐ-UBND ngày  30/12/2022</t>
  </si>
  <si>
    <t>Trường PTDTBT THCS Tà Long. Hạng mục: Nhà hiệu bộ</t>
  </si>
  <si>
    <t>Nhà nội trú Trường PTTH Đakrông</t>
  </si>
  <si>
    <t>Trường THCS thị trấn Krông Klang. Hạng mục: Nhà hiệu bộ</t>
  </si>
  <si>
    <t>Trường TH thị trấn Krông Klang. Hạng mục: Nhà 02 tầng 08 phòng học</t>
  </si>
  <si>
    <t>Nâng cấp một số tuyến đường nội thi, hệ thống chiếu sáng khu vực trung tâm huyện Đakrông (giai đoạn 2)</t>
  </si>
  <si>
    <t>Nhà công vụ huyện Đakrông</t>
  </si>
  <si>
    <t>Chợ trung tâm khu vực Tà Rụt huyện Đakrông</t>
  </si>
  <si>
    <t>Nhà nội trú trường PTTH Đakrông</t>
  </si>
  <si>
    <t>LK vốn đã bố trí đến 2022</t>
  </si>
  <si>
    <t xml:space="preserve">Chương trình MTQG XD NTM </t>
  </si>
  <si>
    <t>CT MTQG 2023</t>
  </si>
  <si>
    <t>TÌNH HÌNH THỰC HIỆN CÁC CHƯƠNG TRÌNH MTQG NĂM 2023</t>
  </si>
  <si>
    <t>(Kèm theo Báo cáo số          /BC-UBND ngày        /      /2023 của UBND huyện Đakrông)</t>
  </si>
  <si>
    <t>Công trình chuyển tiếp</t>
  </si>
  <si>
    <t>Nhà văn hóa thôn Hạ Lương xã Ba Lòng</t>
  </si>
  <si>
    <t>Nhà văn hóa thôn Mai Sơn xã Ba Lòng</t>
  </si>
  <si>
    <t>Nhà văn hóa thôn  Đá Nổi xã Ba Lòng</t>
  </si>
  <si>
    <t>Sân thể thao và thiết chế văn hóa xã Triệu Nguyên</t>
  </si>
  <si>
    <t>Trường TH và THCS Triệu Nguyên; HM: 4 phòng học bộ môn</t>
  </si>
  <si>
    <t>Sửa chữa nâng cấp hệ thống thủy lợi Khe Cây xã Ba Lòng</t>
  </si>
  <si>
    <t>Sửa chữa nâng cấp hệ thống kênh mương nội đồng các công trình thủy lợi xã Ba Lòng</t>
  </si>
  <si>
    <t>UBND Xã Ba Lòng</t>
  </si>
  <si>
    <t>Trường TH và THCS xã Mò Ó; HM: 4 phòng học bộ môn TH Phú Thiềng</t>
  </si>
  <si>
    <t>Kè chống sạt lở bờ sông khóm Làng Cát, thị trấn Krông Klang</t>
  </si>
  <si>
    <t>Sửa chữa trạm y tế xã Ba Lòng</t>
  </si>
  <si>
    <t>Sửa chữa tràn Khe Tru xã A Ngo</t>
  </si>
  <si>
    <t>Sửa chữa nâng cấp đường liên thôn Ly Tôn- Xi Pa, xã Tà Long</t>
  </si>
  <si>
    <t>Nâng cấp, sửa chữa hệ thống đường nội thôn Xuân Lâm, Na Nẫm (giai đoạn 2)</t>
  </si>
  <si>
    <t>Trường TH và THCS xã Mò Ó; HM: 4 phòng học bộ môn điểm trường Đồng Đờng</t>
  </si>
  <si>
    <t>Cải tạo nâng cấp đường nội thôn Cựp, xã Húc Nghì (2 tuyến)</t>
  </si>
  <si>
    <t>Sửa chữa trạm y tế xã Tà Long</t>
  </si>
  <si>
    <t xml:space="preserve">Nâng cấp đường nội thôn A Liêng, xã Tà Rụt </t>
  </si>
  <si>
    <t>TT Krông Klang</t>
  </si>
  <si>
    <t>xã Mò Ó</t>
  </si>
  <si>
    <t>Công trình cấp nước thôn Pa Hy, xã Tà Long</t>
  </si>
  <si>
    <t>Công trình cấp nước thôn 5 xã Ba Lòng</t>
  </si>
  <si>
    <t>Công trình khởi công mới</t>
  </si>
  <si>
    <t>Công trình cấp nước sinh hoạt thôn Vực Leng xã Tà Rụt</t>
  </si>
  <si>
    <t>Công trình cấp nước sinh hoạt thôn Tân Đi 3, xã A Vao</t>
  </si>
  <si>
    <t>Sữa chữa công trình cấp nước sinh hoạt A Vao, xã A Vao</t>
  </si>
  <si>
    <t>Định canh định cư  xã Ba Nang</t>
  </si>
  <si>
    <t>Định canh định cư  xã A Vao</t>
  </si>
  <si>
    <t>Trường MN Hải Phúc (Thôn 5); HM: Khu Hiệu Bộ</t>
  </si>
  <si>
    <t>Nâng cấp đường nội thôn Phú Thành, xã Mò Ó</t>
  </si>
  <si>
    <t>Đường nội thôn Phú Thiềng, xã Mò Ó</t>
  </si>
  <si>
    <t>Đường nội thôn xóm Ba Rầu Đồng Đờng, xã Mò Ó</t>
  </si>
  <si>
    <t>Đường nội thôn Phú Thành xã Mò Ó</t>
  </si>
  <si>
    <t>Trường TH và THCS xã Mò Ó; HM: Nhà hiệu bộ</t>
  </si>
  <si>
    <t>Điện sinh hoạt cụm Ta Bung, thôn Xa Vi, xã Hướng Hiệp</t>
  </si>
  <si>
    <t>Đường giao thông nội thôn Xa Rúc, xã Hướng Hiệp</t>
  </si>
  <si>
    <t xml:space="preserve">Đường giao thông nội thôn Xa Vi, xã Hướng Hiệp </t>
  </si>
  <si>
    <t>Thị trấn Krông Klang</t>
  </si>
  <si>
    <t>Nâng cấp, sửa chữa chợ trung tâm thị trấn Krông Klang</t>
  </si>
  <si>
    <t>Đường khu dân cư khóm Khe Xong, thị trấn Krông Klang</t>
  </si>
  <si>
    <t>Đường nội thôn khóm Làng Cát, thị trấn Krông Klang</t>
  </si>
  <si>
    <t>Đường khu dân cư khóm Làng Cát, thị trấn Krông Klang</t>
  </si>
  <si>
    <t>Đường nội thôn A Luông, xã A Bung</t>
  </si>
  <si>
    <t>Nâng cấp đường nội thôn Pire 1</t>
  </si>
  <si>
    <t>Nâng cấp đường nội thôn A Đeng, xã A Ngo</t>
  </si>
  <si>
    <t xml:space="preserve">Trường TH&amp;THCS A Ngo; Hạng mục: Nhà 2 tầng 6 phòng bộ môn tiểu học (A La); </t>
  </si>
  <si>
    <t>Điện sinh hoạt xóm A Táng thôn Paling và thôn Ro Ró, xã A Vao</t>
  </si>
  <si>
    <t xml:space="preserve">Đường nội thôn A Vao, xã A Vao </t>
  </si>
  <si>
    <t>Trường MN Tà Rụt; Hạng mục:  Phòng GDTC &amp; phòng đa năng</t>
  </si>
  <si>
    <t xml:space="preserve">Trường tiểu học Tà Rụt; Hạng mục:  03 phòng học bộ môn điểm trường Tà Rụt </t>
  </si>
  <si>
    <t>Trường MN Húc Nghì; Hạng mục:  Khu Hiệu bộ</t>
  </si>
  <si>
    <t>Đường nội thôn Húc Nghì, xã Húc Nghì</t>
  </si>
  <si>
    <t>Hệ thống điện sinh hoạt thôn Pa hy, thôn Ly tôn, Xã Tà Long</t>
  </si>
  <si>
    <t>Đường nội thôn Pa Ngày, xã Tà Long</t>
  </si>
  <si>
    <t>Trường MN Pa Nang; Hạng mục:  Nhà hiệu bộ</t>
  </si>
  <si>
    <t>Sửa chữa đường vào trung tâm xã Ba Nang; HM: Cầu tràn và đường</t>
  </si>
  <si>
    <t>Đường nội thôn Ra Poong, xã Ba Nang (điểm Bù)</t>
  </si>
  <si>
    <t>Nâng cấp sửa chữa công trình cấp nước sinh hoạt thôn Khe Ngài, xã Đakrông</t>
  </si>
  <si>
    <t>Đường nội thôn Khe Ngài, xã Đakrông (điểm từ đường liên thôn đến nhà cộng đồng)</t>
  </si>
  <si>
    <t>Trường PTDT BT TH &amp; THCS A Vao - điểm trường Tân Đi 1, điểm trường Tân Đi 2, điểm trường Pa Ling 1 và điểm trường Pa Ling 2; hm: Nhà công vụ</t>
  </si>
  <si>
    <t>Trường PTDT BT THCS Tà Long; HM nhà công vụ</t>
  </si>
  <si>
    <t>Trường TH &amp; THCS A Ngo; HM: Phòng quản lý, nhà kho, nhà sinh hoạt</t>
  </si>
  <si>
    <t>Trường TH và THCS xã Húc Nghì, điểm trường Húc Nghì; HM: Nhà công vụ</t>
  </si>
  <si>
    <t>Trường PTDT BT THCS Pa Nang; HM: 6 phòng học bộ môn</t>
  </si>
  <si>
    <t>Trường PTDT BT TH &amp; THCS A Vao, điểm trường A Vao; HM: Nhà công vụ</t>
  </si>
  <si>
    <t>Hỗ trợ đầu tư bảo tồn làng, bản văn hóa truyền thống tiêu biểu của các dân tộc thiểu số thôn Làng Cát xã Đakrông</t>
  </si>
  <si>
    <t>Nâng cấp, sửa chữa nhà văn hóa khóm 1, khóm Làng Cát, khóm Khe Xong thị trấn Krông Klang</t>
  </si>
  <si>
    <t>Nhà văn hóa thôn A Luông, xã A Bung</t>
  </si>
  <si>
    <t>Điểm ứng dụng công nghệ thông tin xã Mò Ó</t>
  </si>
  <si>
    <t>Điểm ứng dụng công nghệ thông tin xã Hướng Hiệp</t>
  </si>
  <si>
    <t>TMĐT dự kiến</t>
  </si>
  <si>
    <t>Kế hoạch trung hạn 2021-2025</t>
  </si>
  <si>
    <t>Bổ sung có mục tiêu (Vốn Sự nghiệp)</t>
  </si>
  <si>
    <t>Ước giải ngân  đến 31/12/2023</t>
  </si>
  <si>
    <t>Giải ngân đến 31/1/2023</t>
  </si>
  <si>
    <t>KLHT</t>
  </si>
  <si>
    <t>TẠM ỨNG</t>
  </si>
  <si>
    <t>Tỉ lệ giải ngân đến 31/1/2023 (%)</t>
  </si>
  <si>
    <t>Chương trình MTQG XD NTM NSTW</t>
  </si>
  <si>
    <t>(Gíá trị giải ngân bao gồm tạm ứng)</t>
  </si>
  <si>
    <t>Ba Lòng</t>
  </si>
  <si>
    <t>Nhà văn hóa thôn 5 xã Ba Lòng</t>
  </si>
  <si>
    <t>Triệu Nguyên</t>
  </si>
  <si>
    <t>Mò Ó</t>
  </si>
  <si>
    <t>Nhà văn hóa xã Mò Ó; HM: hàng rào, sân, nhà vệ sinh và các hạng mục phụ trợ</t>
  </si>
  <si>
    <t>Nhà văn hóa thôn Đồng Đờng, xã Mò Ó</t>
  </si>
  <si>
    <t>Nâng cấp nhà văn hóa 3 thôn: Khe Luồi, Phú Thành, Phú Thiềng, xã Mò Ó</t>
  </si>
  <si>
    <t>A Bung</t>
  </si>
  <si>
    <t>Xây dựng sân thể thao và điểm vui chơi 09 thôn, xã A Bung</t>
  </si>
  <si>
    <t xml:space="preserve">Nhà Văn hóa xã A Bung </t>
  </si>
  <si>
    <t>Đường nội thôn Pire 1, xã A Bung (Đoạn từ nhà Hồ Văn Nguôi đến hộ ông Hồ Văn Ba)</t>
  </si>
  <si>
    <t>A Ngo</t>
  </si>
  <si>
    <t>Sửa chữa nhà văn hóa xã A Ngo (trả nợ)</t>
  </si>
  <si>
    <t>Cải tạo sữa chữa nhà văn hóa 6 thôn: La Lay, A Đeng, A Rồng dưới, A La, A Ngo, Kỳ Ne, xã A Ngo</t>
  </si>
  <si>
    <t>A Vao</t>
  </si>
  <si>
    <t>Xây dựng sân thể thao và điểm vui chơi xã A Vao</t>
  </si>
  <si>
    <t>Nhà văn hóa thôn A Vao, xã A Vao</t>
  </si>
  <si>
    <t>Ba Nang</t>
  </si>
  <si>
    <t>Nhà văn hóa thôn: Đá Bàn xã Ba Nang</t>
  </si>
  <si>
    <t>Nhà văn hóa thôn Ba Nang, xã Ba Nang</t>
  </si>
  <si>
    <t>Trường MN Pa Nang; Hạng mục:  Sân, hàng rào</t>
  </si>
  <si>
    <t>Đakrông</t>
  </si>
  <si>
    <t>Đường nội thôn thôn Klu, xã Đakrông (Đoạn từ quốc lộ 9 đến nhà xóm cuối nhà ông Thoan)</t>
  </si>
  <si>
    <t>Sửa chữa nhà văn hóa thôn Klu, xã Đakrông</t>
  </si>
  <si>
    <t>Sửa chữa, nâng cấp đường trục thôn Làng Cát, xã Đakrông</t>
  </si>
  <si>
    <t>Tà Rụt</t>
  </si>
  <si>
    <t>Xây dựng sân thể thao và điểm vui xã Tà Rụt</t>
  </si>
  <si>
    <t>Nâng cấp đường nội thôn Tà Rụt 1, xã Tà Rụt</t>
  </si>
  <si>
    <t>Tà Long</t>
  </si>
  <si>
    <t>Đường nội thôn Chai, xã Tà Long</t>
  </si>
  <si>
    <t>Đường nội thôn tổ A Lô thôn Ngược, xã Tà Long</t>
  </si>
  <si>
    <t>Hướng Hiệp</t>
  </si>
  <si>
    <t>Đường giao thông nội thôn Ra Lu, xã Hướng Hiệp (Đoạn từ nhà ông Hồ Thị Ba đi đến nhà Hồ Xuân Thoang)</t>
  </si>
  <si>
    <t>Đường giao thông nội thôn Phú An, xã Hướng Hiệp (Đoạn từ nhà ông Hồ Văn Nam đi đến nhà Hồ Văn Cheng)</t>
  </si>
  <si>
    <t>Đường giao thông nội thôn Ra Lu, xã Hướng Hiệp (Đoạn từ nhà Hồ Văn Tèo đi đến nhà Hồ Văn Xinh)</t>
  </si>
  <si>
    <t>Húc Nghì</t>
  </si>
  <si>
    <t>Đường nội đồng thôn Húc Nghì, La Tó, xã Húc Nghì (giai đoạn 2)</t>
  </si>
  <si>
    <t>Điểm vui chơi giải trí và thể thao xã Ba Lòng</t>
  </si>
  <si>
    <t>Nâng cấp thuỷ lợi Pa Đôm, thôn Ba Nang, xã Ba Nang</t>
  </si>
  <si>
    <t>Nhà văn hóa thôn Pa Hy, xã Tà Long</t>
  </si>
  <si>
    <t>Nâng cấp sửa chữa thủy lợi thôn Tà Lao, xã Tà Long</t>
  </si>
  <si>
    <t>Nâng cấp, sửa chữa đường liên thôn La Tó - Cựp, xã Húc Nghì</t>
  </si>
  <si>
    <t xml:space="preserve">UBND Xã Ba Lòng </t>
  </si>
  <si>
    <t>Xây dựng mới công trình cấp nước thôn 5 xã Ba Lòng</t>
  </si>
  <si>
    <t>Xây dựng mới công trình cấp nước thôn Pa Hy, xã Tà Long</t>
  </si>
  <si>
    <t>Nâng cấp Đường nội thôn Phú Thành, xã Mò Ó</t>
  </si>
  <si>
    <t>Đường giao thông nội thôn Xa Rúc, xã Hướng Hiệp (Đoạn từ nhà ông Hồ Văn Nam đi đến nhà Hồ Thanh Dai)</t>
  </si>
  <si>
    <t>Đường nội đồng khóm Làng Cát, thị trấn Krông Klang</t>
  </si>
  <si>
    <t>Đường nội đồng khóm Khe Xong, thị trấn Krông Klang</t>
  </si>
  <si>
    <t>Đường nội đồng khóm A Rồng, thị trấn Krông Klang</t>
  </si>
  <si>
    <t>Nhà văn hóa thị trấn Krông Klang; HM: Hàng rào</t>
  </si>
  <si>
    <t>Đường nội thôn Pire 2, xã A Bung (2 Đoạn: Từ nhà Bà Nguyễn Thị Hoa đến hộ ông Hồ Văn Cọ &amp; Đoạn từ nhà ông Hồ Văn Khoa đến hộ ông Hồ Văn Với)</t>
  </si>
  <si>
    <t>Đường liên thôn thôn Cu Tài 2 -Cu Tài 1, xã A Bung</t>
  </si>
  <si>
    <t>Đường nội thôn Cựp, xã A Bung (Đoạn từ đường HCM đến nhà SHCĐ)</t>
  </si>
  <si>
    <t>Sửa chữa trạm y tế xã A Ngo</t>
  </si>
  <si>
    <t>Nhà bia xã A Ngo; HM: San tạo mặt bằng và xây hàng rào</t>
  </si>
  <si>
    <t>Sửa chữa trạm y tế xã A Vao</t>
  </si>
  <si>
    <t xml:space="preserve">Sân thể thao xã A Vao </t>
  </si>
  <si>
    <t>Sửa chữa trạm y tế xã Tà rụt</t>
  </si>
  <si>
    <t>Nâng cấp đường nội thôn Tà Rụt 2, xã Tà Rụt</t>
  </si>
  <si>
    <t>Nâng cấp đường nội thôn A Pul, xã Tà Rụt</t>
  </si>
  <si>
    <t>Đường nội thôn Pa Ngày, xã Tà Long (nối đường quốc phòng)</t>
  </si>
  <si>
    <t>8007051</t>
  </si>
  <si>
    <t>Sân thể thao xã Ba Nang; HM: Khán đài, hàng rào, thiết bị</t>
  </si>
  <si>
    <t xml:space="preserve">Hệ thống điện sinh hoạt xóm Ba Nhà thôn Đá Bàn xã Ba Nang </t>
  </si>
  <si>
    <t>Trường TH &amp; THCS A Ngo; HM: Nhà công vụ</t>
  </si>
  <si>
    <t>Trường PTDT BT TH &amp; THCS A Vao; HM: Nhà ăn + nhà vệ sinh</t>
  </si>
  <si>
    <t>Trường PTDT BT TH &amp; THCS A Vao -điểm trường Tân Đi 1, điểm trường Tân Đi 2, điểm trường Pa Ling 1 và điểm trường Pa Ling 2; hm: Nhà công vụ</t>
  </si>
  <si>
    <t>Mở rộng và nâng cấp nhà văn hóa thôn A Liêng, xã Tà Rụt</t>
  </si>
  <si>
    <t>Nhà văn hóa thôn Khe Luồi xã Mò Ó; hạng mục: Xây hàng rào</t>
  </si>
  <si>
    <t>Nhà văn hóa thôn A Rồng thị trấn Krông Klang hạng mục: sửa NSH và các công trình phụ trợ</t>
  </si>
  <si>
    <t>Nhà văn hóa 3 thôn Pire1, Pire2, A Luông xã A Bung, hạng mục: Sân và các công trình phụ trợ</t>
  </si>
  <si>
    <t>Nhà văn hóa 2 thôn (Thôn 5, Mai Sơn), xã Ba Lòng; HM: các công trình phụ trợ</t>
  </si>
  <si>
    <t>Nhà văn hóa thôn Xa rúc, xã Hướng Hiệp; HM: Sân, hàng rào và công trình phụ trợ</t>
  </si>
  <si>
    <t>Nhà văn hóa thôn Ruộng, xã Hướng Hiệp; HM: Sân, hàng rào và công trình phụ trợ</t>
  </si>
  <si>
    <t>Sân thể dục thể thao thôn Pa hy, xã Tà Long</t>
  </si>
  <si>
    <t>Điểm ứng dụng công nghệ thông tin xã Thị Trấn Krông Klang</t>
  </si>
  <si>
    <t>Kế hoạch vốn 2022 kéo dài</t>
  </si>
  <si>
    <t>TÌNH HÌNH THỰC HIỆN KẾ HOẠCH VỐN NĂM 2022 KÉO DÀI SANG NĂM 2023</t>
  </si>
  <si>
    <t>Chương trình MTQG</t>
  </si>
  <si>
    <t xml:space="preserve">Đã bố trí </t>
  </si>
  <si>
    <t>TÌNH HÌNH PHÂN BỔ TIỀN ĐẤU ĐẤT 2023</t>
  </si>
  <si>
    <t>đấu đất</t>
  </si>
  <si>
    <t>Nhà Văn hóa thôn Tân Đi, xã A Vao</t>
  </si>
  <si>
    <t>Trường MN Pa Nang; Hạng mục: Sân, hàng rào</t>
  </si>
  <si>
    <t>Đường nội thôn vào trường THCS Đồng Đờng, xã Mò Ó</t>
  </si>
  <si>
    <t>A1</t>
  </si>
  <si>
    <t>A2</t>
  </si>
  <si>
    <t>A3</t>
  </si>
  <si>
    <t>Các chương trình MTQG</t>
  </si>
  <si>
    <t>Phòng TC-KH</t>
  </si>
  <si>
    <t>Đường giao thông nội thôn Văn Vận xã Ba Lòng</t>
  </si>
  <si>
    <t>STT</t>
  </si>
  <si>
    <t>Danh mục</t>
  </si>
  <si>
    <t>Nghị quyết phê duyệt chủ trương đầu tư</t>
  </si>
  <si>
    <t>Tổng mức đầu tư</t>
  </si>
  <si>
    <t>Khắc phục, sửa chữa thủy lợi Tà Lềng, xã Đakrông</t>
  </si>
  <si>
    <t>NQ 139/NQ-HĐND ngày 28/3/2023</t>
  </si>
  <si>
    <t>Khắc phục, sửa chữa thủy lợi Là Tắp, xã Ba Nang</t>
  </si>
  <si>
    <t>NQ 142/NQ-HĐND ngày 28/3/2023</t>
  </si>
  <si>
    <t>Khắc phục, sửa chữa đường liên xã thuộc thôn Xa Lăng, xã Đakrông, huyện Đakrông</t>
  </si>
  <si>
    <t>NQ 141/NQ-HĐND ngày 28/3/2023</t>
  </si>
  <si>
    <t>Khắc phục, sửa chữa đường ra khu sản xuất A Rồng trên - Pi Rao, xã A Ngo</t>
  </si>
  <si>
    <t>NQ 143/NQ-HĐND ngày 28/3/2023</t>
  </si>
  <si>
    <t>Khắc phục, sửa chữa đường nội thôn, nội đồng thôn Tà Rụt 3 - A Pul, xã Tà Rụt</t>
  </si>
  <si>
    <t>NQ 140/NQ-HĐND ngày 28/3/2023</t>
  </si>
  <si>
    <t>Khắc phục, sửa chữa các tuyến đường liên thôn, nội thôn Khe Hà - Gia Giã, xã Hướng Hiệp</t>
  </si>
  <si>
    <t>NQ 137/NQ-HĐND ngày 28/3/2023</t>
  </si>
  <si>
    <t>Khắc phục, sửa chữa các tuyến đường và cầu tràn thôn Ba Nang - Đá Bàn - Ra Poong - Sa Trầm, xã Ba Nang</t>
  </si>
  <si>
    <t>NQ 138/NQ-HĐND ngày 28/3/2023</t>
  </si>
  <si>
    <t>TÌNH HÌNH THỰC HIỆN KINH PHÍ TRUNG ƯƠNG HỖ TRỢ KHẮC PHỤC HẬU QUẢ THIÊN TAI NĂM 2022</t>
  </si>
  <si>
    <t>KH vốn 2023</t>
  </si>
  <si>
    <t>Ban QLDA, PTQĐ và cụm công nghiệp</t>
  </si>
  <si>
    <t>QĐ 438 ngày 31/3</t>
  </si>
  <si>
    <t>Ban QLDA, PTQĐ&amp;CCN huyện</t>
  </si>
  <si>
    <t>+BSCMT: 200 tr đồng</t>
  </si>
  <si>
    <t>Đ/C vốn tại QĐ 482 ngày 12/5</t>
  </si>
  <si>
    <t xml:space="preserve">TONG CT </t>
  </si>
  <si>
    <t>CT XÂY MỚI</t>
  </si>
  <si>
    <t>Đang điều chỉnh vốn</t>
  </si>
  <si>
    <t>Quy hoạch chung đô thị mới Tà Rụt, huyện Đakrông đến năm 2045</t>
  </si>
  <si>
    <t>QĐ 3297/QĐ-UBND tỉnh 22/12/2022</t>
  </si>
  <si>
    <t>Hạ tầng cơ bản cho phát triển toàn diện tỉnh Quảng Trị do UBND Đakrông làm chủ đầu tư</t>
  </si>
  <si>
    <t>Ban QLDA Đầu tư Bảo vệ và Phát triển rừng</t>
  </si>
  <si>
    <t>Trồng, bảo vệ, phát triển rừng và cơ sở hạ tầng phục vụ bảo tồn và phát triển bền vững các Khu bảo tồn thiên nhiên Đakrông và Bắc Hướng Hóa tỉnh Quảng Trị</t>
  </si>
  <si>
    <t>8022247</t>
  </si>
  <si>
    <t>7990601</t>
  </si>
  <si>
    <t>8025147</t>
  </si>
  <si>
    <t>Đang thi công, tỉnh chưa nhập dự toán</t>
  </si>
  <si>
    <t>Sữa chữa, Nâng cấp đường liên thôn Ra Lây - Đá Bàn, xã Ba Nang</t>
  </si>
  <si>
    <t>Nâng cấp, mở rộng đường giao thông nông thôn xã Ba Lòng</t>
  </si>
  <si>
    <t>Bao gồm vốn tạm ứng</t>
  </si>
  <si>
    <t>Ước tỉ lệ giải ngân đến 31/12/2023 (%)</t>
  </si>
  <si>
    <t>Ước giải ngân đến 31/12/2023</t>
  </si>
  <si>
    <t>Ứơc tỉ lệ giải ngân đến 31/12/2023 (%)</t>
  </si>
  <si>
    <t>Ước tỉ lệ giải ngân đến 31/12/2023</t>
  </si>
  <si>
    <t>Đ/c vốn tại QĐ 1409 NGÀY 5/7</t>
  </si>
  <si>
    <t>8040683</t>
  </si>
  <si>
    <t>KH VỐN 2022 KÉO DÀI SANG 2023</t>
  </si>
  <si>
    <t>Di dân khẩn cấp vùng sạt lỡ đất xã Húc Nghì, huyện Đakrông</t>
  </si>
  <si>
    <t>đ/c tại QĐ 1791 ngày 31/8</t>
  </si>
  <si>
    <t>Đ.C TẠI QĐ 1790 NGÀY 31/8</t>
  </si>
  <si>
    <t>Đ/C tại QĐ số 1790 ngày 31/8/23</t>
  </si>
  <si>
    <t>Trường THCS thị trấn Krông Klang. Hạng mục: Nhà 02 tầng 06 phòng học</t>
  </si>
  <si>
    <t>Dự kiến giải ngân đến 15/10/2023</t>
  </si>
  <si>
    <t>Ước tỉ lệ giải ngân đến 15/10/2023 (%)</t>
  </si>
  <si>
    <t>Đ/C tại QĐ số        ngày     /     /23</t>
  </si>
  <si>
    <t>đ/c tại QĐ 1791 ngày 31/8 và 1822 ngày 19/9</t>
  </si>
  <si>
    <t>Nhà sinh hoạt cộng đồng thôn Ruộng, xã Hướng Hiệp, huyện Đakrông</t>
  </si>
  <si>
    <t>Đường nội đồng thôn Xuân Lâm, xã Triệu Nguyên</t>
  </si>
  <si>
    <t>Tạo quỹ đất để đấu giá quyền sử dụng đất các lô nằm xen kẽ trong khu dân cư trên địa bàn thị trấn.</t>
  </si>
  <si>
    <t xml:space="preserve">Tạo quỹ đất sạch để đấu giá quyền sử dụng đất Công ty Lương thực bàn giao. </t>
  </si>
  <si>
    <t xml:space="preserve">Hội trường Huyện ủy, HĐND, UBND huyện Đakrông. </t>
  </si>
  <si>
    <t>Khắc phục, sửa chữa khẩn cấp nước sinh hoạt thôn Cợp, Húc Nghì xã Húc Nghì</t>
  </si>
  <si>
    <t>Khắc phục, sửa chữa khẩn cấp nước sinh hoạt các thôn Ba Ngày, Kè xã Tà Long</t>
  </si>
  <si>
    <t>Khắc phục, sửa chữa khẩn cấp nước sinh hoạt thôn A Đăng, Vực Leng, A Pul xã Tà Rụt</t>
  </si>
  <si>
    <t>Khắc phục, sửa chữa khẩn cấp nước sinh hoạt các thôn Gia Giã, Ruộng, Khe Hà xã Hướng Hiệp</t>
  </si>
  <si>
    <t xml:space="preserve">Đầu tư xây dựng khu tái định cư, di dân khẩn cấp ổn định định canh, định cư ra khỏi vùng lũ ống, lũ quét và sạt lở xã Tà Rụt huyện Đakrông </t>
  </si>
  <si>
    <t>Nâng cấp tuyến đường nội thị thị trấn KrôngKlang. HM: tuyến nối đường Hùng Vương và tuyến nối đường Lê Duẫn</t>
  </si>
  <si>
    <t>Cơ sở hạ tầng kỹ thuật Cụm công nghiệp huyện Đakrông</t>
  </si>
  <si>
    <t>QĐ 1819/QĐ-UBND ngày 19/9</t>
  </si>
  <si>
    <t>QĐ 1820/QĐ-UBND ngày 19/9</t>
  </si>
  <si>
    <t>Đ/C QĐ 1821/QĐ-UBND NGÀY 19/9</t>
  </si>
  <si>
    <t>Đ/C QĐ 1821 NGÀY 19.9.23</t>
  </si>
  <si>
    <t>DU VON</t>
  </si>
  <si>
    <t>TỔNG HỢP VỐN XÂY DỰNG CƠ BẢN NĂM 2023</t>
  </si>
  <si>
    <t>UBND Xã Triệu Nguyên</t>
  </si>
  <si>
    <t>Phòng KT&amp;HT</t>
  </si>
  <si>
    <t>CHỦ ĐẦU TƯ</t>
  </si>
  <si>
    <t>KH VỐN KÉO DÀI</t>
  </si>
  <si>
    <t>GIẢI NGÂN</t>
  </si>
  <si>
    <t>TỶ LỆ</t>
  </si>
  <si>
    <t>Ban QLDA, PTQĐ và CCN</t>
  </si>
  <si>
    <t>KH VỐN 2023</t>
  </si>
  <si>
    <t>GHI CHÚ</t>
  </si>
  <si>
    <t>Phòng KT-HT</t>
  </si>
  <si>
    <t>Phòng Tài chính - KH</t>
  </si>
  <si>
    <t>TOÀN HUYỆN</t>
  </si>
  <si>
    <t>Phụ lục 4</t>
  </si>
  <si>
    <t>(Kèm theo Báo cáo số          /BC-UBND ngày        /10/2023 của UBND huyện Đakrông)</t>
  </si>
  <si>
    <t>Nếu loại trừ tiền đất đạt 58,3%</t>
  </si>
  <si>
    <t>QĐ 163/QĐ-UBND TINH14/7/23</t>
  </si>
  <si>
    <t>Sửa chữa đường, sân và hàng rào Đài phát thanh truyền hình</t>
  </si>
  <si>
    <t>Sửa chữa Trung tâm chính trị huyện, hạng mục: Nhà nội trú học viên</t>
  </si>
  <si>
    <t>Khu lưu niệm di tích lịch sử - Văn hóa Chiến khu Ba Lòng</t>
  </si>
  <si>
    <t>ĐƠN VỊ</t>
  </si>
  <si>
    <t>TỔNG DỰ ÁN ĐƯỢC GIAO</t>
  </si>
  <si>
    <t>TỔNG HỢP TIẾN ĐỘ CÔNG TÁC CHUẨN BỊ ĐẦU TƯ NĂM 2024</t>
  </si>
  <si>
    <t>Đ/c vốn tại QĐ 2087NGÀY  19/10/23</t>
  </si>
  <si>
    <t>VỐN XDCB 2023 (NSH, TỈNH, TW)</t>
  </si>
  <si>
    <t>ĐÃ NỘP THẨM ĐỊNH</t>
  </si>
  <si>
    <t>Trong đó: Đã thẩm định</t>
  </si>
  <si>
    <t xml:space="preserve"> TỶ LỆ GIẢI NGÂN KH VỐN 2022 KÉO DÀI (TÍNH ĐẾN 24/10)</t>
  </si>
  <si>
    <t xml:space="preserve"> TỶ LỆ GIẢI NGÂN KH VỐN 2023 (TÍNH ĐẾN 24/10)</t>
  </si>
  <si>
    <t>Đ/C tại QĐ số  2072  ngày 18/10/23</t>
  </si>
  <si>
    <t>DỰ ÁN KH VỐN NĂM 2022 KÉO DÀI</t>
  </si>
  <si>
    <t>DỰ ÁN KH VỐN NĂM 2023</t>
  </si>
  <si>
    <t>Tỷ lệ</t>
  </si>
  <si>
    <t>Đất ở, ĐSX</t>
  </si>
  <si>
    <t>Số dự án được giao</t>
  </si>
  <si>
    <t>Số dự án giải ngân dưới 75%</t>
  </si>
  <si>
    <t>TỔNG HỢP DỰ ÁN CÓ TỶ LỆ GIẢI NGÂN DƯỚI 75%</t>
  </si>
  <si>
    <t>Phụ biểu 02</t>
  </si>
  <si>
    <t>Phụ biểu 03</t>
  </si>
  <si>
    <t>Phụ biểu 04</t>
  </si>
  <si>
    <t>Phụ lục 05</t>
  </si>
  <si>
    <t>QĐ 1134/QĐ-UBND tỉnh 2/6/2023
QĐ Đ/C 2569/QĐ-UBND tỉnh 3/11/2023</t>
  </si>
  <si>
    <t>Nguồn thu sử dụng đất</t>
  </si>
  <si>
    <t>Hồ sinh thái đập dâng Khe Ruôi, thị trấn Krông Klang, huyện Đakrông (giai đoạn 1)</t>
  </si>
  <si>
    <t>QĐ 2509 NGÀY 30/10/23</t>
  </si>
  <si>
    <t xml:space="preserve">QĐ 1825 NGÀY 16/8/23
</t>
  </si>
  <si>
    <t>qđ Đ/C 2633 ngày 6/11/2023</t>
  </si>
  <si>
    <t>Sữa chữa trung tâm chính trị huyện; hạng mục: Nhà nội trú học viên</t>
  </si>
  <si>
    <t>KL thực hiện so với KHV 2022 đến 20/11/2023</t>
  </si>
  <si>
    <t>Giải ngân đến 20/11/2023</t>
  </si>
  <si>
    <t>Tỉ lệ giải ngân đến 20/11/2023 (%)</t>
  </si>
  <si>
    <t>Đ/C QĐ 2288 ngày 15/11</t>
  </si>
  <si>
    <t>QĐ ĐC  2289  ngày 15/11/23</t>
  </si>
  <si>
    <t>đ/c tại QĐ 1791 ngày 31/8
đ/c tại QĐ 2283 ngày 14/11</t>
  </si>
  <si>
    <t>đ/c tại QĐ 2283 ngày 14/11</t>
  </si>
  <si>
    <t>QĐ ĐC 2270 NGAY 14/11</t>
  </si>
  <si>
    <t>QĐ 2071/QĐ-UBND ngày 18/10
QĐ ĐC 2270 ngày 14/11/23</t>
  </si>
  <si>
    <t>QĐ 1820/QĐ-UBND ngày 19/9
qđ đ.c 2270 NGÀY 14/11/23</t>
  </si>
  <si>
    <t>Đ.C TẠI QĐ 2280 NGÀY 14/11</t>
  </si>
  <si>
    <t>ĐC QĐ 2280 ngày 14/11</t>
  </si>
  <si>
    <t>QĐ ĐC 2282 ngay 14/11/23</t>
  </si>
  <si>
    <t xml:space="preserve">Ban QLDA, PTQĐ &amp; CCN </t>
  </si>
  <si>
    <t>Trụ sở xã A Ngo. Hạng mục: Nhà làm việc, phòng một cửa và các hạng mục phụ trợ khác</t>
  </si>
  <si>
    <t>DANH MỤC DỰ ÁN</t>
  </si>
  <si>
    <t>Địa điểm xây dựng</t>
  </si>
  <si>
    <t>Thời gian KC-HT</t>
  </si>
  <si>
    <t>dư</t>
  </si>
  <si>
    <t>Tổng số</t>
  </si>
  <si>
    <t>Trong đó: NS huyện</t>
  </si>
  <si>
    <t>CỘNG (I+II)</t>
  </si>
  <si>
    <t>TÔNG</t>
  </si>
  <si>
    <t>Nguồn XDCB TT huyện quản lý</t>
  </si>
  <si>
    <t>QTOAN</t>
  </si>
  <si>
    <t>Dự án chuyển tiếp</t>
  </si>
  <si>
    <t>2022-2024</t>
  </si>
  <si>
    <t>Dự án khởi công mới</t>
  </si>
  <si>
    <t>85% đấu đất</t>
  </si>
  <si>
    <t>2.1</t>
  </si>
  <si>
    <t>nop</t>
  </si>
  <si>
    <t>2.2</t>
  </si>
  <si>
    <t>Điều tra chỉnh lý hồ sơ địa chính (10%)</t>
  </si>
  <si>
    <t>Đo đạc, chỉnh lý bản đồ địa chính, cấp giấy chứng nhận quyền sử dụng đất</t>
  </si>
  <si>
    <t>DANH MỤC CÔNG TRÌNH, DỰ ÁN PHÂN BỔ VỐN XDCB NGÂN SÁCH HUYỆN NĂM 2024</t>
  </si>
  <si>
    <t>Phụ lục 5</t>
  </si>
  <si>
    <t>LK vốn NSH đã bố trí đến 2023</t>
  </si>
  <si>
    <t>Kế hoạch vốn 2024</t>
  </si>
  <si>
    <t>2021-2024</t>
  </si>
  <si>
    <t>+ BSCMT: 3840 tỷ</t>
  </si>
  <si>
    <t>Đường giao thông thôn Khe Luồi, xã Mò Ó; Hạng mục: Xử lý điểm ngập nước, mất an toàn</t>
  </si>
  <si>
    <t>Trụ sở Ban QLDA, PTQĐ và CCN huyện; Hạng mục: Phòng làm việc</t>
  </si>
  <si>
    <t xml:space="preserve">TT Krông Klang </t>
  </si>
  <si>
    <t>2024-2025</t>
  </si>
  <si>
    <t>2024-2026</t>
  </si>
  <si>
    <t>Trụ sở xã Hướng Hiệp</t>
  </si>
  <si>
    <t>Chuẩn bị đầu tư</t>
  </si>
  <si>
    <t xml:space="preserve"> </t>
  </si>
  <si>
    <t>2023-2025</t>
  </si>
  <si>
    <t>Đ/C QĐ:    …..   /11/2023</t>
  </si>
  <si>
    <t>Đ/C QĐ:    ….. /11/2023</t>
  </si>
  <si>
    <t>Hồ sinh thái đập dâng Khe Luôi, thị trấn Krông Klang (giai đoạn 1)</t>
  </si>
  <si>
    <t>Đ/c vốn tại QĐ 2296 NGÀY 14/11</t>
  </si>
  <si>
    <t>Đ/c QĐ 2087NGÀY  19/10/23
Đ/c QĐ 2296 NGÀY 15/11/23</t>
  </si>
  <si>
    <t>Đ/C QĐ 1821/QĐ-UBND NGÀY 19/9
Đ/C QĐ 2296//QĐ-UBND NGÀY 15/11</t>
  </si>
  <si>
    <t>Đ/c vốn tại QĐ 1409 NGÀY 5/7
Đ/c vốn tại QĐ 2296 NGÀY 14/11</t>
  </si>
  <si>
    <t>Đ/c QĐ 2296 NGÀY 15/11/23</t>
  </si>
  <si>
    <t>Đ/c vốn tại QĐ 2296 NGÀY 15/11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</si>
</sst>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_(&quot;$&quot;* #,##0_);_(&quot;$&quot;* \(#,##0\);_(&quot;$&quot;* &quot;-&quot;_);_(@_)"/>
    <numFmt numFmtId="165" formatCode="_(* #,##0.00_);_(* \(#,##0.00\);_(* &quot;-&quot;??_);_(@_)"/>
    <numFmt numFmtId="166" formatCode="_-* #,##0\ _₫_-;\-* #,##0\ _₫_-;_-* &quot;-&quot;\ _₫_-;_-@_-"/>
    <numFmt numFmtId="167" formatCode="_-* #,##0.00\ _₫_-;\-* #,##0.00\ _₫_-;_-* &quot;-&quot;??\ _₫_-;_-@_-"/>
    <numFmt numFmtId="168" formatCode="_(* #,##0.0_);_(* \(#,##0.0\);_(* &quot;-&quot;??_);_(@_)"/>
    <numFmt numFmtId="169" formatCode="0.000"/>
    <numFmt numFmtId="170" formatCode="_(* #,##0.000_);_(* \(#,##0.000\);_(* &quot;-&quot;??_);_(@_)"/>
    <numFmt numFmtId="171" formatCode="#,##0.000"/>
    <numFmt numFmtId="172" formatCode="_-* #,##0.0\ _₫_-;\-* #,##0.0\ _₫_-;_-* &quot;-&quot;?\ _₫_-;_-@_-"/>
    <numFmt numFmtId="173" formatCode="_-* #,##0.000\ _₫_-;\-* #,##0.000\ _₫_-;_-* &quot;-&quot;?\ _₫_-;_-@_-"/>
    <numFmt numFmtId="174" formatCode="_-* #,##0.00\ _₫_-;\-* #,##0.00\ _₫_-;_-* &quot;-&quot;?\ _₫_-;_-@_-"/>
    <numFmt numFmtId="175" formatCode="_-* #,##0.000\ _₫_-;\-* #,##0.000\ _₫_-;_-* &quot;-&quot;???\ _₫_-;_-@_-"/>
    <numFmt numFmtId="176" formatCode="_(* #,##0_);_(* \(#,##0\);_(* &quot;-&quot;??_);_(@_)"/>
    <numFmt numFmtId="177" formatCode="&quot;.&quot;###&quot;,&quot;0&quot;.&quot;00_);\(&quot;.&quot;###&quot;,&quot;0&quot;.&quot;00\)"/>
    <numFmt numFmtId="178" formatCode="_-* ###&quot;,&quot;0&quot;.&quot;00\ _$_-;\-* ###&quot;,&quot;0&quot;.&quot;00\ _$_-;_-* &quot;-&quot;??\ _$_-;_-@_-"/>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 ;\(\$#,##0\)"/>
    <numFmt numFmtId="184" formatCode="_-* #,##0\ _D_M_-;\-* #,##0\ _D_M_-;_-* &quot;-&quot;\ _D_M_-;_-@_-"/>
    <numFmt numFmtId="185" formatCode="_-* #,##0.00\ _D_M_-;\-* #,##0.00\ _D_M_-;_-* &quot;-&quot;??\ _D_M_-;_-@_-"/>
    <numFmt numFmtId="186" formatCode="_-[$€-2]* #,##0.00_-;\-[$€-2]* #,##0.00_-;_-[$€-2]* &quot;-&quot;??_-"/>
    <numFmt numFmtId="187" formatCode="#."/>
    <numFmt numFmtId="188" formatCode="0.0000"/>
    <numFmt numFmtId="189" formatCode="#,##0\ &quot;$&quot;_);[Red]\(#,##0\ &quot;$&quot;\)"/>
    <numFmt numFmtId="190" formatCode="_-* #,##0\ &quot;kr&quot;_-;\-* #,##0\ &quot;kr&quot;_-;_-* &quot;-&quot;\ &quot;kr&quot;_-;_-@_-"/>
    <numFmt numFmtId="191" formatCode="_-* #,##0.00\ _ã_ð_í_._-;\-* #,##0.00\ _ã_ð_í_._-;_-* &quot;-&quot;??\ _ã_ð_í_._-;_-@_-"/>
    <numFmt numFmtId="192" formatCode="#,##0.00\ &quot;F&quot;;[Red]\-#,##0.00\ &quot;F&quot;"/>
    <numFmt numFmtId="193" formatCode="_-* #,##0\ &quot;F&quot;_-;\-* #,##0\ &quot;F&quot;_-;_-* &quot;-&quot;\ &quot;F&quot;_-;_-@_-"/>
    <numFmt numFmtId="194" formatCode="0.000\ "/>
    <numFmt numFmtId="195" formatCode="#,##0\ &quot;Lt&quot;;[Red]\-#,##0\ &quot;Lt&quot;"/>
    <numFmt numFmtId="196" formatCode="#,##0\ &quot;F&quot;;[Red]\-#,##0\ &quot;F&quot;"/>
    <numFmt numFmtId="197" formatCode="#,##0.00\ &quot;F&quot;;\-#,##0.00\ &quot;F&quot;"/>
    <numFmt numFmtId="198" formatCode="_-* #,##0\ &quot;DM&quot;_-;\-* #,##0\ &quot;DM&quot;_-;_-* &quot;-&quot;\ &quot;DM&quot;_-;_-@_-"/>
    <numFmt numFmtId="199" formatCode="_-* #,##0.00\ &quot;DM&quot;_-;\-* #,##0.00\ &quot;DM&quot;_-;_-* &quot;-&quot;??\ &quot;DM&quot;_-;_-@_-"/>
    <numFmt numFmtId="200" formatCode="&quot;\&quot;#,##0.00;[Red]&quot;\&quot;\-#,##0.00"/>
    <numFmt numFmtId="201" formatCode="&quot;\&quot;#,##0;[Red]&quot;\&quot;\-#,##0"/>
    <numFmt numFmtId="202" formatCode="_-&quot;$&quot;* #,##0_-;\-&quot;$&quot;* #,##0_-;_-&quot;$&quot;* &quot;-&quot;_-;_-@_-"/>
    <numFmt numFmtId="203" formatCode="&quot;$&quot;#,##0;[Red]\-&quot;$&quot;#,##0"/>
    <numFmt numFmtId="204" formatCode="_-&quot;$&quot;* #,##0.00_-;\-&quot;$&quot;* #,##0.00_-;_-&quot;$&quot;* &quot;-&quot;??_-;_-@_-"/>
    <numFmt numFmtId="205" formatCode="_-* #,##0.0000\ _₫_-;\-* #,##0.0000\ _₫_-;_-* &quot;-&quot;???\ _₫_-;_-@_-"/>
    <numFmt numFmtId="206" formatCode="_-* #,##0.0000\ _₫_-;\-* #,##0.0000\ _₫_-;_-* &quot;-&quot;?\ _₫_-;_-@_-"/>
    <numFmt numFmtId="207" formatCode="_(* #,##0.000_);_(* \(#,##0.000\);_(* &quot;-&quot;???_);_(@_)"/>
    <numFmt numFmtId="208" formatCode="_-* #,##0.000_-;\-* #,##0.000_-;_-* &quot;-&quot;???_-;_-@_-"/>
    <numFmt numFmtId="209" formatCode="_-* #,##0.00000\ _₫_-;\-* #,##0.00000\ _₫_-;_-* &quot;-&quot;???\ _₫_-;_-@_-"/>
    <numFmt numFmtId="210" formatCode="_-* #,##0.00\ _₫_-;\-* #,##0.00\ _₫_-;_-* &quot;-&quot;???\ _₫_-;_-@_-"/>
    <numFmt numFmtId="211" formatCode="#,##0.0000"/>
  </numFmts>
  <fonts count="129">
    <font>
      <sz val="11"/>
      <color theme="1"/>
      <name val="Calibri"/>
      <family val="2"/>
      <scheme val="minor"/>
    </font>
    <font>
      <sz val="11"/>
      <color theme="1"/>
      <name val="Calibri"/>
      <family val="2"/>
      <charset val="163"/>
      <scheme val="minor"/>
    </font>
    <font>
      <sz val="11"/>
      <color theme="1"/>
      <name val="Calibri"/>
      <family val="2"/>
      <scheme val="minor"/>
    </font>
    <font>
      <b/>
      <sz val="12"/>
      <name val="Times New Roman"/>
      <family val="1"/>
    </font>
    <font>
      <b/>
      <sz val="12"/>
      <color theme="1"/>
      <name val="Times New Roman"/>
      <family val="1"/>
    </font>
    <font>
      <sz val="11"/>
      <color indexed="8"/>
      <name val="Calibri"/>
      <family val="2"/>
    </font>
    <font>
      <sz val="12"/>
      <name val="Times New Roman"/>
      <family val="1"/>
    </font>
    <font>
      <sz val="12"/>
      <color theme="1"/>
      <name val="Times New Roman"/>
      <family val="1"/>
    </font>
    <font>
      <i/>
      <sz val="12"/>
      <name val="Times New Roman"/>
      <family val="1"/>
    </font>
    <font>
      <sz val="12"/>
      <color rgb="FFFF0000"/>
      <name val="Times New Roman"/>
      <family val="1"/>
    </font>
    <font>
      <sz val="11"/>
      <name val="Times New Roman"/>
      <family val="1"/>
    </font>
    <font>
      <i/>
      <sz val="12"/>
      <color theme="1"/>
      <name val="Times New Roman"/>
      <family val="1"/>
    </font>
    <font>
      <sz val="9"/>
      <color indexed="81"/>
      <name val="Tahoma"/>
      <family val="2"/>
    </font>
    <font>
      <b/>
      <sz val="9"/>
      <color indexed="81"/>
      <name val="Tahoma"/>
      <family val="2"/>
    </font>
    <font>
      <sz val="12"/>
      <name val="Times New Roman"/>
      <family val="1"/>
      <charset val="163"/>
    </font>
    <font>
      <sz val="10"/>
      <name val="Times New Roman"/>
      <family val="1"/>
    </font>
    <font>
      <sz val="10"/>
      <name val="Arial"/>
      <family val="2"/>
    </font>
    <font>
      <b/>
      <sz val="10"/>
      <name val="Arial"/>
      <family val="2"/>
    </font>
    <font>
      <sz val="10"/>
      <name val="Arial"/>
      <family val="2"/>
      <charset val="163"/>
    </font>
    <font>
      <b/>
      <sz val="10"/>
      <name val="Times New Roman"/>
      <family val="1"/>
    </font>
    <font>
      <sz val="12"/>
      <name val="Times New Roman"/>
      <family val="1"/>
      <charset val="163"/>
    </font>
    <font>
      <sz val="11"/>
      <color indexed="9"/>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52"/>
      <name val="Calibri"/>
      <family val="2"/>
    </font>
    <font>
      <sz val="11"/>
      <color indexed="62"/>
      <name val="Calibri"/>
      <family val="2"/>
    </font>
    <font>
      <sz val="11"/>
      <color indexed="60"/>
      <name val="Calibri"/>
      <family val="2"/>
    </font>
    <font>
      <sz val="11"/>
      <color indexed="20"/>
      <name val="Calibri"/>
      <family val="2"/>
    </font>
    <font>
      <i/>
      <sz val="11"/>
      <color indexed="23"/>
      <name val="Calibri"/>
      <family val="2"/>
    </font>
    <font>
      <b/>
      <sz val="11"/>
      <color indexed="8"/>
      <name val="Calibri"/>
      <family val="2"/>
    </font>
    <font>
      <sz val="11"/>
      <color indexed="10"/>
      <name val="Calibri"/>
      <family val="2"/>
    </font>
    <font>
      <b/>
      <sz val="18"/>
      <color indexed="56"/>
      <name val="Cambria"/>
      <family val="1"/>
    </font>
    <font>
      <b/>
      <sz val="11"/>
      <color indexed="63"/>
      <name val="Calibri"/>
      <family val="2"/>
    </font>
    <font>
      <sz val="12"/>
      <name val="Times New Roman"/>
      <family val="1"/>
      <charset val="163"/>
    </font>
    <font>
      <sz val="12"/>
      <name val="Times New Roman"/>
      <family val="1"/>
      <charset val="163"/>
    </font>
    <font>
      <sz val="11"/>
      <color theme="1"/>
      <name val="Arial"/>
      <family val="2"/>
      <charset val="163"/>
    </font>
    <font>
      <sz val="11"/>
      <color theme="1"/>
      <name val="Times New Roman"/>
      <family val="1"/>
    </font>
    <font>
      <sz val="11"/>
      <color theme="1"/>
      <name val="Arial"/>
      <family val="2"/>
    </font>
    <font>
      <sz val="14"/>
      <name val=".VnTime"/>
      <family val="2"/>
    </font>
    <font>
      <sz val="12"/>
      <name val=".VnTime"/>
      <family val="2"/>
    </font>
    <font>
      <sz val="12"/>
      <name val="돋움체"/>
      <family val="3"/>
      <charset val="129"/>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Helv"/>
      <family val="2"/>
    </font>
    <font>
      <sz val="10"/>
      <name val="MS Sans Serif"/>
      <family val="2"/>
    </font>
    <font>
      <sz val="9"/>
      <name val="‚l‚r –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2"/>
      <name val="µ¸¿òÃ¼"/>
      <family val="3"/>
      <charset val="129"/>
    </font>
    <font>
      <sz val="11"/>
      <name val="µ¸¿ò"/>
      <charset val="129"/>
    </font>
    <font>
      <sz val="11"/>
      <name val="돋움"/>
      <charset val="129"/>
    </font>
    <font>
      <b/>
      <sz val="10"/>
      <name val="Helv"/>
      <family val="2"/>
    </font>
    <font>
      <sz val="8"/>
      <name val="Arial"/>
      <family val="2"/>
    </font>
    <font>
      <b/>
      <sz val="12"/>
      <name val="Helv"/>
      <family val="2"/>
    </font>
    <font>
      <b/>
      <sz val="12"/>
      <name val="Arial"/>
      <family val="2"/>
    </font>
    <font>
      <b/>
      <sz val="1"/>
      <color indexed="8"/>
      <name val="Courier"/>
      <family val="3"/>
    </font>
    <font>
      <sz val="12"/>
      <name val="Arial"/>
      <family val="2"/>
    </font>
    <font>
      <sz val="10"/>
      <name val="Helv"/>
    </font>
    <font>
      <b/>
      <sz val="11"/>
      <name val="Helv"/>
      <family val="2"/>
    </font>
    <font>
      <sz val="10"/>
      <name val=".VnArial"/>
      <family val="2"/>
    </font>
    <font>
      <sz val="9"/>
      <name val="Arial"/>
      <family val="2"/>
    </font>
    <font>
      <sz val="11"/>
      <color indexed="8"/>
      <name val="Helvetica Neue"/>
    </font>
    <font>
      <sz val="11"/>
      <name val="–¾’©"/>
      <family val="1"/>
      <charset val="128"/>
    </font>
    <font>
      <sz val="13"/>
      <name val=".VnTime"/>
      <family val="2"/>
    </font>
    <font>
      <sz val="10"/>
      <name val=".VnAvant"/>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0"/>
      <name val="ＭＳ Ｐ明朝"/>
      <family val="1"/>
      <charset val="128"/>
    </font>
    <font>
      <sz val="12"/>
      <color theme="1"/>
      <name val="Times New Roman"/>
      <family val="2"/>
      <charset val="163"/>
    </font>
    <font>
      <b/>
      <sz val="11"/>
      <color theme="1"/>
      <name val="Times New Roman"/>
      <family val="1"/>
    </font>
    <font>
      <b/>
      <sz val="11"/>
      <color theme="1"/>
      <name val="Times New Roman"/>
      <family val="1"/>
      <charset val="163"/>
    </font>
    <font>
      <b/>
      <sz val="11"/>
      <name val="Times New Roman"/>
      <family val="1"/>
    </font>
    <font>
      <sz val="11"/>
      <color rgb="FFFF0000"/>
      <name val="Times New Roman"/>
      <family val="1"/>
    </font>
    <font>
      <sz val="14"/>
      <name val=".VnTimeH"/>
      <family val="2"/>
    </font>
    <font>
      <i/>
      <sz val="10"/>
      <name val=".VnTime"/>
      <family val="2"/>
    </font>
    <font>
      <b/>
      <sz val="10"/>
      <name val=".VnArial"/>
      <family val="2"/>
    </font>
    <font>
      <b/>
      <sz val="10"/>
      <name val=".VnTime"/>
      <family val="2"/>
    </font>
    <font>
      <sz val="11"/>
      <color theme="1"/>
      <name val="Calibri"/>
      <family val="2"/>
    </font>
    <font>
      <b/>
      <sz val="10"/>
      <name val=".VnTimeh"/>
      <family val="2"/>
    </font>
    <font>
      <b/>
      <sz val="11"/>
      <name val=".VnTimeh"/>
      <family val="2"/>
    </font>
    <font>
      <b/>
      <sz val="11"/>
      <color rgb="FFFF0000"/>
      <name val="Times New Roman"/>
      <family val="1"/>
    </font>
    <font>
      <b/>
      <sz val="12"/>
      <color rgb="FFFF0000"/>
      <name val="Times New Roman"/>
      <family val="1"/>
    </font>
    <font>
      <b/>
      <i/>
      <sz val="12"/>
      <name val="Times New Roman"/>
      <family val="1"/>
    </font>
    <font>
      <b/>
      <i/>
      <sz val="11"/>
      <name val="Times New Roman"/>
      <family val="1"/>
    </font>
    <font>
      <b/>
      <i/>
      <sz val="12"/>
      <color theme="1"/>
      <name val="Times New Roman"/>
      <family val="1"/>
    </font>
    <font>
      <b/>
      <i/>
      <sz val="11"/>
      <color theme="1"/>
      <name val="Times New Roman"/>
      <family val="1"/>
    </font>
    <font>
      <sz val="9"/>
      <color theme="1"/>
      <name val="Times New Roman"/>
      <family val="1"/>
    </font>
    <font>
      <sz val="8"/>
      <color theme="1"/>
      <name val="Times New Roman"/>
      <family val="1"/>
    </font>
    <font>
      <sz val="12"/>
      <color rgb="FF000000"/>
      <name val="Times New Roman"/>
      <family val="1"/>
    </font>
    <font>
      <b/>
      <sz val="9"/>
      <color theme="1"/>
      <name val="Times New Roman"/>
      <family val="1"/>
    </font>
    <font>
      <b/>
      <sz val="14"/>
      <name val="Times New Roman"/>
      <family val="1"/>
    </font>
    <font>
      <b/>
      <sz val="8"/>
      <color indexed="81"/>
      <name val="Tahoma"/>
      <family val="2"/>
    </font>
    <font>
      <sz val="8"/>
      <color indexed="81"/>
      <name val="Tahoma"/>
      <family val="2"/>
    </font>
    <font>
      <sz val="8"/>
      <name val="Calibri"/>
      <family val="2"/>
      <scheme val="minor"/>
    </font>
    <font>
      <b/>
      <sz val="14"/>
      <color theme="1"/>
      <name val="Times New Roman"/>
      <family val="1"/>
    </font>
    <font>
      <sz val="12"/>
      <color theme="1"/>
      <name val="Times New Roman"/>
      <family val="2"/>
    </font>
    <font>
      <b/>
      <i/>
      <sz val="12"/>
      <color rgb="FFFF0000"/>
      <name val="Times New Roman"/>
      <family val="1"/>
    </font>
    <font>
      <sz val="10"/>
      <color theme="1"/>
      <name val="Times New Roman"/>
      <family val="1"/>
    </font>
    <font>
      <sz val="13"/>
      <color rgb="FFFF0000"/>
      <name val="Times New Roman"/>
      <family val="1"/>
    </font>
    <font>
      <sz val="13"/>
      <name val="Times New Roman"/>
      <family val="1"/>
    </font>
    <font>
      <b/>
      <sz val="13"/>
      <name val="Times New Roman"/>
      <family val="1"/>
    </font>
    <font>
      <i/>
      <sz val="13"/>
      <name val="Times New Roman"/>
      <family val="1"/>
    </font>
    <font>
      <i/>
      <sz val="11"/>
      <color theme="1"/>
      <name val="Times New Roman"/>
      <family val="1"/>
    </font>
    <font>
      <b/>
      <sz val="11"/>
      <color theme="1"/>
      <name val="Calibri"/>
      <family val="2"/>
      <scheme val="minor"/>
    </font>
    <font>
      <b/>
      <i/>
      <sz val="14"/>
      <color theme="1"/>
      <name val="Times New Roman"/>
      <family val="1"/>
    </font>
    <font>
      <sz val="9"/>
      <name val="Times New Roman"/>
      <family val="1"/>
    </font>
    <font>
      <sz val="11"/>
      <color theme="1"/>
      <name val="Times New Roman"/>
      <family val="1"/>
      <charset val="163"/>
    </font>
    <font>
      <sz val="12"/>
      <color theme="1"/>
      <name val="Times New Roman"/>
      <family val="1"/>
      <charset val="163"/>
    </font>
    <font>
      <sz val="11"/>
      <name val="Times New Roman"/>
      <family val="1"/>
      <charset val="163"/>
    </font>
    <font>
      <i/>
      <sz val="12"/>
      <color rgb="FFFF0000"/>
      <name val="Times New Roman"/>
      <family val="1"/>
    </font>
    <font>
      <sz val="13"/>
      <color theme="1"/>
      <name val="Times New Roman"/>
      <family val="1"/>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theme="0"/>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dashed">
        <color indexed="64"/>
      </top>
      <bottom style="dashed">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251">
    <xf numFmtId="0" fontId="0" fillId="0" borderId="0"/>
    <xf numFmtId="165" fontId="2" fillId="0" borderId="0" applyFont="0" applyFill="0" applyBorder="0" applyAlignment="0" applyProtection="0"/>
    <xf numFmtId="165" fontId="5" fillId="0" borderId="0" applyFont="0" applyFill="0" applyBorder="0" applyAlignment="0" applyProtection="0"/>
    <xf numFmtId="0" fontId="10" fillId="0" borderId="0"/>
    <xf numFmtId="0" fontId="14" fillId="0" borderId="0"/>
    <xf numFmtId="0" fontId="6" fillId="0" borderId="0"/>
    <xf numFmtId="43" fontId="6" fillId="0" borderId="0" applyFont="0" applyFill="0" applyBorder="0" applyAlignment="0" applyProtection="0"/>
    <xf numFmtId="0" fontId="17" fillId="0" borderId="0" applyNumberFormat="0" applyFill="0" applyBorder="0" applyAlignment="0" applyProtection="0"/>
    <xf numFmtId="0" fontId="16" fillId="0" borderId="0"/>
    <xf numFmtId="0" fontId="16" fillId="0" borderId="0"/>
    <xf numFmtId="0" fontId="17" fillId="0" borderId="0" applyNumberFormat="0" applyFill="0" applyBorder="0" applyAlignment="0" applyProtection="0"/>
    <xf numFmtId="0" fontId="18" fillId="0" borderId="0"/>
    <xf numFmtId="165" fontId="18" fillId="0" borderId="0" applyFont="0" applyFill="0" applyBorder="0" applyAlignment="0" applyProtection="0"/>
    <xf numFmtId="9" fontId="18" fillId="0" borderId="0" applyFont="0" applyFill="0" applyBorder="0" applyAlignment="0" applyProtection="0"/>
    <xf numFmtId="0" fontId="2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31" fillId="5" borderId="0" applyNumberFormat="0" applyBorder="0" applyAlignment="0" applyProtection="0"/>
    <xf numFmtId="0" fontId="28" fillId="22" borderId="12" applyNumberFormat="0" applyAlignment="0" applyProtection="0"/>
    <xf numFmtId="0" fontId="22" fillId="23" borderId="13" applyNumberFormat="0" applyAlignment="0" applyProtection="0"/>
    <xf numFmtId="0" fontId="32" fillId="0" borderId="0" applyNumberFormat="0" applyFill="0" applyBorder="0" applyAlignment="0" applyProtection="0"/>
    <xf numFmtId="0" fontId="23" fillId="6"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9" fillId="9" borderId="12" applyNumberFormat="0" applyAlignment="0" applyProtection="0"/>
    <xf numFmtId="0" fontId="27" fillId="0" borderId="17" applyNumberFormat="0" applyFill="0" applyAlignment="0" applyProtection="0"/>
    <xf numFmtId="0" fontId="30" fillId="24" borderId="0" applyNumberFormat="0" applyBorder="0" applyAlignment="0" applyProtection="0"/>
    <xf numFmtId="0" fontId="6" fillId="25" borderId="18" applyNumberFormat="0" applyFont="0" applyAlignment="0" applyProtection="0"/>
    <xf numFmtId="0" fontId="36" fillId="22" borderId="19" applyNumberFormat="0" applyAlignment="0" applyProtection="0"/>
    <xf numFmtId="0" fontId="35" fillId="0" borderId="0" applyNumberFormat="0" applyFill="0" applyBorder="0" applyAlignment="0" applyProtection="0"/>
    <xf numFmtId="0" fontId="33" fillId="0" borderId="20" applyNumberFormat="0" applyFill="0" applyAlignment="0" applyProtection="0"/>
    <xf numFmtId="0" fontId="34" fillId="0" borderId="0" applyNumberFormat="0" applyFill="0" applyBorder="0" applyAlignment="0" applyProtection="0"/>
    <xf numFmtId="0" fontId="37" fillId="0" borderId="0"/>
    <xf numFmtId="0" fontId="16" fillId="0" borderId="0"/>
    <xf numFmtId="0" fontId="16" fillId="0" borderId="0"/>
    <xf numFmtId="0" fontId="38" fillId="0" borderId="0"/>
    <xf numFmtId="0" fontId="39" fillId="0" borderId="0"/>
    <xf numFmtId="0" fontId="41" fillId="0" borderId="0"/>
    <xf numFmtId="167" fontId="39" fillId="0" borderId="0" applyFont="0" applyFill="0" applyBorder="0" applyAlignment="0" applyProtection="0"/>
    <xf numFmtId="0" fontId="57" fillId="0" borderId="0"/>
    <xf numFmtId="0" fontId="59"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81" fontId="58" fillId="0" borderId="0" applyFont="0" applyFill="0" applyBorder="0" applyAlignment="0" applyProtection="0"/>
    <xf numFmtId="0" fontId="48" fillId="0" borderId="0" applyFont="0" applyFill="0" applyBorder="0" applyAlignment="0" applyProtection="0"/>
    <xf numFmtId="165" fontId="16"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65" fontId="16" fillId="0" borderId="0" applyFont="0" applyFill="0" applyBorder="0" applyAlignment="0" applyProtection="0"/>
    <xf numFmtId="165" fontId="5" fillId="0" borderId="0" applyFont="0" applyFill="0" applyBorder="0" applyAlignment="0" applyProtection="0"/>
    <xf numFmtId="165" fontId="16" fillId="0" borderId="0" applyFont="0" applyFill="0" applyBorder="0" applyAlignment="0" applyProtection="0"/>
    <xf numFmtId="0" fontId="63" fillId="0" borderId="0"/>
    <xf numFmtId="0" fontId="62" fillId="0" borderId="0" applyFill="0" applyBorder="0" applyAlignment="0"/>
    <xf numFmtId="0" fontId="61" fillId="0" borderId="0"/>
    <xf numFmtId="0" fontId="59" fillId="0" borderId="0"/>
    <xf numFmtId="0" fontId="60" fillId="0" borderId="0"/>
    <xf numFmtId="0" fontId="59" fillId="0" borderId="0"/>
    <xf numFmtId="0" fontId="59" fillId="0" borderId="0" applyFont="0" applyFill="0" applyBorder="0" applyAlignment="0" applyProtection="0"/>
    <xf numFmtId="182" fontId="58" fillId="0" borderId="0" applyFont="0" applyFill="0" applyBorder="0" applyAlignment="0" applyProtection="0"/>
    <xf numFmtId="0" fontId="59" fillId="0" borderId="0" applyFont="0" applyFill="0" applyBorder="0" applyAlignment="0" applyProtection="0"/>
    <xf numFmtId="0" fontId="55" fillId="22" borderId="0"/>
    <xf numFmtId="3" fontId="44" fillId="0" borderId="1"/>
    <xf numFmtId="3" fontId="44" fillId="0" borderId="1"/>
    <xf numFmtId="179" fontId="58" fillId="0" borderId="0" applyFont="0" applyFill="0" applyBorder="0" applyAlignment="0" applyProtection="0"/>
    <xf numFmtId="0" fontId="56" fillId="0" borderId="0">
      <alignment wrapText="1"/>
    </xf>
    <xf numFmtId="0" fontId="54" fillId="22" borderId="0"/>
    <xf numFmtId="0" fontId="53" fillId="22" borderId="0"/>
    <xf numFmtId="0" fontId="16" fillId="0" borderId="0"/>
    <xf numFmtId="0" fontId="52" fillId="0" borderId="0"/>
    <xf numFmtId="0" fontId="16" fillId="0" borderId="0"/>
    <xf numFmtId="0" fontId="51" fillId="0" borderId="0"/>
    <xf numFmtId="0" fontId="50" fillId="0" borderId="0"/>
    <xf numFmtId="0" fontId="16" fillId="0" borderId="0" applyNumberFormat="0" applyFill="0" applyBorder="0" applyAlignment="0" applyProtection="0"/>
    <xf numFmtId="0" fontId="49" fillId="0" borderId="0"/>
    <xf numFmtId="0" fontId="16" fillId="0" borderId="0" applyFont="0" applyFill="0" applyBorder="0" applyAlignment="0" applyProtection="0"/>
    <xf numFmtId="0" fontId="16" fillId="0" borderId="0" applyFont="0" applyFill="0" applyBorder="0" applyAlignment="0" applyProtection="0"/>
    <xf numFmtId="164" fontId="47"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40" fontId="45" fillId="0" borderId="0" applyFont="0" applyFill="0" applyBorder="0" applyAlignment="0" applyProtection="0"/>
    <xf numFmtId="0" fontId="16" fillId="0" borderId="0" applyNumberFormat="0" applyFill="0" applyBorder="0" applyAlignment="0" applyProtection="0"/>
    <xf numFmtId="178" fontId="43" fillId="0" borderId="0" applyFont="0" applyFill="0" applyBorder="0" applyAlignment="0" applyProtection="0"/>
    <xf numFmtId="0" fontId="45" fillId="0" borderId="0" applyFont="0" applyFill="0" applyBorder="0" applyAlignment="0" applyProtection="0"/>
    <xf numFmtId="177" fontId="43" fillId="0" borderId="0" applyFont="0" applyFill="0" applyBorder="0" applyAlignment="0" applyProtection="0"/>
    <xf numFmtId="3" fontId="44" fillId="0" borderId="1"/>
    <xf numFmtId="0" fontId="43" fillId="0" borderId="0" applyNumberFormat="0" applyFill="0" applyBorder="0" applyAlignment="0" applyProtection="0"/>
    <xf numFmtId="38" fontId="45" fillId="0" borderId="0" applyFont="0" applyFill="0" applyBorder="0" applyAlignment="0" applyProtection="0"/>
    <xf numFmtId="165" fontId="16"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3" fontId="16" fillId="0" borderId="0" applyFont="0" applyFill="0" applyBorder="0" applyAlignment="0" applyProtection="0"/>
    <xf numFmtId="183" fontId="16" fillId="0" borderId="0" applyFont="0" applyFill="0" applyBorder="0" applyAlignment="0" applyProtection="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43" fillId="0" borderId="0" applyFont="0" applyFill="0" applyBorder="0" applyAlignment="0" applyProtection="0"/>
    <xf numFmtId="2" fontId="16" fillId="0" borderId="0" applyFont="0" applyFill="0" applyBorder="0" applyAlignment="0" applyProtection="0"/>
    <xf numFmtId="38" fontId="64" fillId="26" borderId="0" applyNumberFormat="0" applyBorder="0" applyAlignment="0" applyProtection="0"/>
    <xf numFmtId="0" fontId="65" fillId="0" borderId="0">
      <alignment horizontal="left"/>
    </xf>
    <xf numFmtId="0" fontId="66" fillId="0" borderId="24" applyNumberFormat="0" applyAlignment="0" applyProtection="0">
      <alignment horizontal="left" vertical="center"/>
    </xf>
    <xf numFmtId="0" fontId="66" fillId="0" borderId="25">
      <alignment horizontal="left" vertical="center"/>
    </xf>
    <xf numFmtId="187" fontId="67" fillId="0" borderId="0">
      <protection locked="0"/>
    </xf>
    <xf numFmtId="187" fontId="67" fillId="0" borderId="0">
      <protection locked="0"/>
    </xf>
    <xf numFmtId="10" fontId="64" fillId="26" borderId="1" applyNumberFormat="0" applyBorder="0" applyAlignment="0" applyProtection="0"/>
    <xf numFmtId="0" fontId="5" fillId="0" borderId="0"/>
    <xf numFmtId="0" fontId="5" fillId="0" borderId="0"/>
    <xf numFmtId="0" fontId="68" fillId="0" borderId="0"/>
    <xf numFmtId="38" fontId="51" fillId="0" borderId="0" applyFont="0" applyFill="0" applyBorder="0" applyAlignment="0" applyProtection="0"/>
    <xf numFmtId="4" fontId="69"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70" fillId="0" borderId="26"/>
    <xf numFmtId="188" fontId="43" fillId="0" borderId="27"/>
    <xf numFmtId="189" fontId="51" fillId="0" borderId="0" applyFont="0" applyFill="0" applyBorder="0" applyAlignment="0" applyProtection="0"/>
    <xf numFmtId="190" fontId="71" fillId="0" borderId="0" applyFont="0" applyFill="0" applyBorder="0" applyAlignment="0" applyProtection="0"/>
    <xf numFmtId="0" fontId="68" fillId="0" borderId="0" applyNumberFormat="0" applyFont="0" applyFill="0" applyAlignment="0"/>
    <xf numFmtId="191" fontId="43" fillId="0" borderId="0"/>
    <xf numFmtId="0" fontId="42" fillId="0" borderId="0"/>
    <xf numFmtId="0" fontId="2" fillId="0" borderId="0"/>
    <xf numFmtId="0" fontId="16" fillId="0" borderId="0"/>
    <xf numFmtId="0" fontId="5" fillId="0" borderId="0"/>
    <xf numFmtId="0" fontId="5" fillId="0" borderId="0"/>
    <xf numFmtId="0" fontId="5" fillId="0" borderId="0"/>
    <xf numFmtId="0" fontId="72" fillId="0" borderId="0"/>
    <xf numFmtId="0" fontId="72" fillId="0" borderId="0" applyProtection="0"/>
    <xf numFmtId="0" fontId="72" fillId="0" borderId="0" applyProtection="0"/>
    <xf numFmtId="0" fontId="72" fillId="0" borderId="0" applyProtection="0"/>
    <xf numFmtId="0" fontId="72" fillId="0" borderId="0" applyProtection="0"/>
    <xf numFmtId="0" fontId="72" fillId="0" borderId="0" applyProtection="0"/>
    <xf numFmtId="0" fontId="86" fillId="0" borderId="0"/>
    <xf numFmtId="0" fontId="16" fillId="0" borderId="0"/>
    <xf numFmtId="0" fontId="18" fillId="0" borderId="0"/>
    <xf numFmtId="0" fontId="2" fillId="0" borderId="0"/>
    <xf numFmtId="0" fontId="2" fillId="0" borderId="0"/>
    <xf numFmtId="0" fontId="72" fillId="0" borderId="0"/>
    <xf numFmtId="0" fontId="16" fillId="0" borderId="0"/>
    <xf numFmtId="0" fontId="16" fillId="0" borderId="0"/>
    <xf numFmtId="0" fontId="73" fillId="0" borderId="0" applyNumberFormat="0" applyFill="0" applyBorder="0" applyProtection="0">
      <alignment vertical="top"/>
    </xf>
    <xf numFmtId="0" fontId="43" fillId="0" borderId="0"/>
    <xf numFmtId="0" fontId="5" fillId="0" borderId="0"/>
    <xf numFmtId="0" fontId="16" fillId="0" borderId="0"/>
    <xf numFmtId="0" fontId="16" fillId="0" borderId="0"/>
    <xf numFmtId="0" fontId="16" fillId="0" borderId="0"/>
    <xf numFmtId="0" fontId="43" fillId="0" borderId="0"/>
    <xf numFmtId="0" fontId="69" fillId="26" borderId="0"/>
    <xf numFmtId="43" fontId="74" fillId="0" borderId="0" applyFont="0" applyFill="0" applyBorder="0" applyAlignment="0" applyProtection="0"/>
    <xf numFmtId="41" fontId="74" fillId="0" borderId="0" applyFon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16" fillId="0" borderId="0" applyFont="0" applyFill="0" applyBorder="0" applyAlignment="0" applyProtection="0"/>
    <xf numFmtId="0" fontId="15" fillId="0" borderId="0"/>
    <xf numFmtId="10"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0" fontId="43" fillId="0" borderId="0" applyNumberFormat="0" applyFill="0" applyBorder="0" applyAlignment="0" applyProtection="0"/>
    <xf numFmtId="0" fontId="43" fillId="0" borderId="8">
      <alignment horizontal="center"/>
    </xf>
    <xf numFmtId="0" fontId="57" fillId="0" borderId="0" applyNumberFormat="0" applyFill="0" applyBorder="0" applyAlignment="0" applyProtection="0"/>
    <xf numFmtId="0" fontId="70" fillId="0" borderId="0"/>
    <xf numFmtId="192" fontId="75" fillId="0" borderId="23">
      <alignment horizontal="right" vertical="center"/>
    </xf>
    <xf numFmtId="193" fontId="75" fillId="0" borderId="23">
      <alignment horizontal="center"/>
    </xf>
    <xf numFmtId="0" fontId="75" fillId="0" borderId="0" applyNumberFormat="0" applyFill="0" applyBorder="0" applyAlignment="0" applyProtection="0"/>
    <xf numFmtId="0" fontId="16" fillId="0" borderId="0" applyNumberFormat="0" applyFill="0" applyBorder="0" applyAlignment="0" applyProtection="0"/>
    <xf numFmtId="194" fontId="76" fillId="0" borderId="0" applyFont="0" applyFill="0" applyBorder="0" applyAlignment="0" applyProtection="0"/>
    <xf numFmtId="195" fontId="71" fillId="0" borderId="0" applyFont="0" applyFill="0" applyBorder="0" applyAlignment="0" applyProtection="0"/>
    <xf numFmtId="196" fontId="75" fillId="0" borderId="0"/>
    <xf numFmtId="197" fontId="75" fillId="0" borderId="1"/>
    <xf numFmtId="198" fontId="16" fillId="0" borderId="0" applyFont="0" applyFill="0" applyBorder="0" applyAlignment="0" applyProtection="0"/>
    <xf numFmtId="199" fontId="16" fillId="0" borderId="0" applyFont="0" applyFill="0" applyBorder="0" applyAlignment="0" applyProtection="0"/>
    <xf numFmtId="0" fontId="77" fillId="0" borderId="0" applyNumberForma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6" fillId="0" borderId="0">
      <alignment vertical="center"/>
    </xf>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Font="0" applyFill="0" applyBorder="0" applyAlignment="0" applyProtection="0"/>
    <xf numFmtId="0" fontId="81" fillId="0" borderId="0"/>
    <xf numFmtId="0" fontId="82" fillId="0" borderId="28"/>
    <xf numFmtId="0" fontId="83" fillId="0" borderId="0" applyFont="0" applyFill="0" applyBorder="0" applyAlignment="0" applyProtection="0"/>
    <xf numFmtId="0" fontId="83" fillId="0" borderId="0" applyFont="0" applyFill="0" applyBorder="0" applyAlignment="0" applyProtection="0"/>
    <xf numFmtId="200" fontId="83" fillId="0" borderId="0" applyFont="0" applyFill="0" applyBorder="0" applyAlignment="0" applyProtection="0"/>
    <xf numFmtId="201" fontId="83" fillId="0" borderId="0" applyFont="0" applyFill="0" applyBorder="0" applyAlignment="0" applyProtection="0"/>
    <xf numFmtId="0" fontId="84" fillId="0" borderId="0"/>
    <xf numFmtId="0" fontId="68" fillId="0" borderId="0"/>
    <xf numFmtId="41" fontId="72" fillId="0" borderId="0" applyFont="0" applyFill="0" applyBorder="0" applyAlignment="0" applyProtection="0"/>
    <xf numFmtId="43" fontId="72" fillId="0" borderId="0" applyFont="0" applyFill="0" applyBorder="0" applyAlignment="0" applyProtection="0"/>
    <xf numFmtId="166" fontId="16" fillId="0" borderId="0" applyFont="0" applyFill="0" applyBorder="0" applyAlignment="0" applyProtection="0"/>
    <xf numFmtId="0" fontId="85" fillId="0" borderId="0"/>
    <xf numFmtId="202" fontId="72" fillId="0" borderId="0" applyFont="0" applyFill="0" applyBorder="0" applyAlignment="0" applyProtection="0"/>
    <xf numFmtId="203" fontId="47" fillId="0" borderId="0" applyFont="0" applyFill="0" applyBorder="0" applyAlignment="0" applyProtection="0"/>
    <xf numFmtId="204" fontId="72" fillId="0" borderId="0" applyFont="0" applyFill="0" applyBorder="0" applyAlignment="0" applyProtection="0"/>
    <xf numFmtId="43" fontId="51" fillId="0" borderId="0" applyNumberFormat="0" applyFont="0" applyFill="0" applyBorder="0" applyAlignment="0" applyProtection="0"/>
    <xf numFmtId="176" fontId="91" fillId="0" borderId="11" applyNumberFormat="0" applyFont="0" applyBorder="0" applyAlignment="0">
      <alignment horizontal="center" vertical="center"/>
    </xf>
    <xf numFmtId="165" fontId="6" fillId="0" borderId="0" applyFont="0" applyFill="0" applyBorder="0" applyAlignment="0" applyProtection="0"/>
    <xf numFmtId="165" fontId="5" fillId="0" borderId="0" applyFont="0" applyFill="0" applyBorder="0" applyAlignment="0" applyProtection="0"/>
    <xf numFmtId="167" fontId="39" fillId="0" borderId="0" applyFont="0" applyFill="0" applyBorder="0" applyAlignment="0" applyProtection="0"/>
    <xf numFmtId="3" fontId="92" fillId="0" borderId="8" applyNumberFormat="0" applyAlignment="0">
      <alignment horizontal="center" vertical="center"/>
    </xf>
    <xf numFmtId="3" fontId="93" fillId="0" borderId="8" applyNumberFormat="0" applyAlignment="0">
      <alignment horizontal="center" vertical="center"/>
    </xf>
    <xf numFmtId="3" fontId="94" fillId="0" borderId="8" applyNumberFormat="0" applyAlignment="0">
      <alignment horizontal="center" vertical="center"/>
    </xf>
    <xf numFmtId="0" fontId="2" fillId="0" borderId="0"/>
    <xf numFmtId="0" fontId="95" fillId="0" borderId="0"/>
    <xf numFmtId="0" fontId="95" fillId="0" borderId="0"/>
    <xf numFmtId="0" fontId="95" fillId="0" borderId="0"/>
    <xf numFmtId="0" fontId="95" fillId="0" borderId="0"/>
    <xf numFmtId="0" fontId="16" fillId="0" borderId="0"/>
    <xf numFmtId="0" fontId="16" fillId="0" borderId="0"/>
    <xf numFmtId="0" fontId="16" fillId="0" borderId="0"/>
    <xf numFmtId="3" fontId="96" fillId="0" borderId="8" applyNumberFormat="0" applyAlignment="0">
      <alignment horizontal="center" vertical="center"/>
    </xf>
    <xf numFmtId="3" fontId="97" fillId="0" borderId="21" applyNumberFormat="0" applyAlignment="0">
      <alignment horizontal="left" wrapText="1"/>
    </xf>
    <xf numFmtId="0" fontId="14" fillId="0" borderId="0"/>
    <xf numFmtId="0" fontId="29" fillId="9" borderId="12" applyNumberFormat="0" applyAlignment="0" applyProtection="0"/>
    <xf numFmtId="0" fontId="29" fillId="9" borderId="12" applyNumberFormat="0" applyAlignment="0" applyProtection="0"/>
    <xf numFmtId="0" fontId="29" fillId="9" borderId="12" applyNumberFormat="0" applyAlignment="0" applyProtection="0"/>
    <xf numFmtId="0" fontId="14" fillId="0" borderId="0"/>
    <xf numFmtId="0" fontId="14" fillId="0" borderId="0"/>
    <xf numFmtId="0" fontId="14" fillId="0" borderId="0"/>
    <xf numFmtId="0" fontId="14" fillId="0" borderId="0"/>
    <xf numFmtId="0" fontId="1" fillId="0" borderId="0"/>
    <xf numFmtId="0" fontId="2" fillId="0" borderId="0"/>
    <xf numFmtId="0" fontId="2" fillId="0" borderId="0"/>
    <xf numFmtId="0" fontId="2" fillId="0" borderId="0"/>
    <xf numFmtId="41" fontId="2" fillId="0" borderId="0" applyFont="0" applyFill="0" applyBorder="0" applyAlignment="0" applyProtection="0"/>
    <xf numFmtId="0" fontId="113" fillId="0" borderId="0"/>
    <xf numFmtId="165" fontId="113" fillId="0" borderId="0" applyFont="0" applyFill="0" applyBorder="0" applyAlignment="0" applyProtection="0"/>
    <xf numFmtId="165" fontId="16" fillId="0" borderId="0" applyFont="0" applyFill="0" applyBorder="0" applyAlignment="0" applyProtection="0"/>
  </cellStyleXfs>
  <cellXfs count="920">
    <xf numFmtId="0" fontId="0" fillId="0" borderId="0" xfId="0"/>
    <xf numFmtId="0" fontId="4" fillId="0" borderId="1" xfId="0" applyFont="1" applyBorder="1" applyAlignment="1">
      <alignment horizontal="center" vertical="center"/>
    </xf>
    <xf numFmtId="0" fontId="6" fillId="2" borderId="0" xfId="0" applyFont="1" applyFill="1" applyAlignment="1" applyProtection="1">
      <alignment horizontal="center" vertical="center" wrapText="1"/>
      <protection locked="0"/>
    </xf>
    <xf numFmtId="0" fontId="6" fillId="2" borderId="0" xfId="0" applyFont="1" applyFill="1" applyAlignment="1" applyProtection="1">
      <alignment horizontal="left" vertical="center" wrapText="1"/>
      <protection locked="0"/>
    </xf>
    <xf numFmtId="0" fontId="7" fillId="0" borderId="0" xfId="0" applyFont="1"/>
    <xf numFmtId="0" fontId="7" fillId="0" borderId="0" xfId="0" applyFont="1" applyAlignment="1">
      <alignment horizontal="center"/>
    </xf>
    <xf numFmtId="0" fontId="4" fillId="0" borderId="0" xfId="0" applyFont="1" applyAlignment="1">
      <alignment horizontal="right" vertical="center"/>
    </xf>
    <xf numFmtId="168" fontId="6" fillId="0" borderId="1" xfId="1" applyNumberFormat="1" applyFont="1" applyFill="1" applyBorder="1" applyAlignment="1" applyProtection="1">
      <alignment horizontal="left" vertical="center" wrapText="1"/>
      <protection locked="0"/>
    </xf>
    <xf numFmtId="0" fontId="7" fillId="0" borderId="0" xfId="0" applyFont="1" applyAlignment="1">
      <alignment horizontal="right" vertical="center"/>
    </xf>
    <xf numFmtId="0" fontId="6" fillId="0" borderId="1" xfId="0" applyFont="1" applyBorder="1" applyAlignment="1">
      <alignment vertical="center" wrapText="1"/>
    </xf>
    <xf numFmtId="0" fontId="4" fillId="3" borderId="0" xfId="0" applyFont="1" applyFill="1" applyAlignment="1">
      <alignment horizontal="right" vertical="center"/>
    </xf>
    <xf numFmtId="0" fontId="7" fillId="0" borderId="0" xfId="0" applyFont="1" applyAlignment="1">
      <alignment horizontal="center" vertical="center"/>
    </xf>
    <xf numFmtId="0" fontId="7" fillId="3" borderId="0" xfId="0" applyFont="1" applyFill="1" applyAlignment="1">
      <alignment horizontal="right" vertical="center"/>
    </xf>
    <xf numFmtId="0" fontId="6"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4" fillId="2" borderId="0" xfId="0" applyFont="1" applyFill="1" applyAlignment="1">
      <alignment horizontal="right" vertical="center"/>
    </xf>
    <xf numFmtId="0" fontId="6" fillId="2" borderId="0" xfId="0" applyFont="1" applyFill="1" applyAlignment="1">
      <alignment horizontal="right" vertical="center"/>
    </xf>
    <xf numFmtId="0" fontId="40" fillId="0" borderId="0" xfId="0" applyFont="1"/>
    <xf numFmtId="0" fontId="87" fillId="0" borderId="0" xfId="0" applyFont="1" applyAlignment="1">
      <alignment horizontal="right" vertical="center"/>
    </xf>
    <xf numFmtId="0" fontId="87" fillId="3" borderId="0" xfId="0" applyFont="1" applyFill="1" applyAlignment="1">
      <alignment horizontal="right" vertical="center"/>
    </xf>
    <xf numFmtId="0" fontId="89" fillId="0" borderId="0" xfId="0" applyFont="1" applyAlignment="1">
      <alignment horizontal="right" vertical="center"/>
    </xf>
    <xf numFmtId="0" fontId="10" fillId="0" borderId="0" xfId="0" applyFont="1" applyAlignment="1">
      <alignment horizontal="right" vertical="center"/>
    </xf>
    <xf numFmtId="0" fontId="7" fillId="2" borderId="0" xfId="0" applyFont="1" applyFill="1"/>
    <xf numFmtId="0" fontId="6" fillId="2" borderId="1" xfId="0" applyFont="1" applyFill="1" applyBorder="1" applyAlignment="1" applyProtection="1">
      <alignment horizontal="center" vertical="center" wrapText="1"/>
      <protection locked="0"/>
    </xf>
    <xf numFmtId="0" fontId="6" fillId="2" borderId="1" xfId="235" applyFont="1" applyFill="1" applyBorder="1" applyAlignment="1">
      <alignment horizontal="justify" vertical="center" wrapText="1"/>
    </xf>
    <xf numFmtId="0" fontId="6" fillId="2" borderId="1" xfId="235" applyFont="1" applyFill="1" applyBorder="1" applyAlignment="1">
      <alignment horizontal="center" vertical="center" wrapText="1"/>
    </xf>
    <xf numFmtId="171" fontId="6" fillId="2" borderId="1" xfId="5" applyNumberFormat="1" applyFill="1" applyBorder="1" applyAlignment="1">
      <alignment vertical="center" wrapText="1"/>
    </xf>
    <xf numFmtId="171" fontId="6" fillId="2" borderId="1" xfId="239" applyNumberFormat="1" applyFont="1" applyFill="1" applyBorder="1" applyAlignment="1">
      <alignment vertical="center"/>
    </xf>
    <xf numFmtId="171" fontId="6" fillId="2" borderId="1" xfId="6" applyNumberFormat="1" applyFont="1" applyFill="1" applyBorder="1" applyAlignment="1">
      <alignment vertical="center" wrapText="1"/>
    </xf>
    <xf numFmtId="1" fontId="6" fillId="2" borderId="1" xfId="5" applyNumberFormat="1" applyFill="1" applyBorder="1" applyAlignment="1">
      <alignment horizontal="center" vertical="center" wrapText="1"/>
    </xf>
    <xf numFmtId="171" fontId="6" fillId="2" borderId="1" xfId="240" applyNumberFormat="1" applyFont="1" applyFill="1" applyBorder="1" applyAlignment="1">
      <alignment vertical="center"/>
    </xf>
    <xf numFmtId="0" fontId="6" fillId="2" borderId="0" xfId="0" applyFont="1" applyFill="1" applyAlignment="1">
      <alignment horizontal="left" vertical="center"/>
    </xf>
    <xf numFmtId="0" fontId="40" fillId="0" borderId="0" xfId="0" applyFont="1" applyAlignment="1">
      <alignment horizontal="center" vertical="center"/>
    </xf>
    <xf numFmtId="0" fontId="3" fillId="2" borderId="1" xfId="0" applyFont="1" applyFill="1" applyBorder="1" applyAlignment="1">
      <alignment horizontal="left" vertical="center"/>
    </xf>
    <xf numFmtId="0" fontId="98" fillId="0" borderId="0" xfId="0" applyFont="1" applyAlignment="1">
      <alignment horizontal="center" vertical="center"/>
    </xf>
    <xf numFmtId="0" fontId="99" fillId="0" borderId="0" xfId="0" applyFont="1" applyAlignment="1">
      <alignment horizontal="center" vertical="center"/>
    </xf>
    <xf numFmtId="0" fontId="3" fillId="2" borderId="1" xfId="0" applyFont="1" applyFill="1" applyBorder="1" applyAlignment="1">
      <alignment horizontal="center" vertical="center"/>
    </xf>
    <xf numFmtId="0" fontId="87" fillId="2" borderId="0" xfId="0" applyFont="1" applyFill="1" applyAlignment="1">
      <alignment horizontal="center" vertical="center"/>
    </xf>
    <xf numFmtId="0" fontId="4" fillId="2" borderId="0" xfId="0" applyFont="1" applyFill="1" applyAlignment="1">
      <alignment horizontal="center" vertical="center"/>
    </xf>
    <xf numFmtId="173" fontId="100" fillId="2" borderId="1" xfId="1" applyNumberFormat="1" applyFont="1" applyFill="1" applyBorder="1" applyAlignment="1">
      <alignment horizontal="right" vertical="center" wrapText="1"/>
    </xf>
    <xf numFmtId="173" fontId="8" fillId="2" borderId="1" xfId="1" applyNumberFormat="1" applyFont="1" applyFill="1" applyBorder="1" applyAlignment="1">
      <alignment horizontal="right" vertical="center" wrapText="1"/>
    </xf>
    <xf numFmtId="0" fontId="6" fillId="2" borderId="1" xfId="0" applyFont="1" applyFill="1" applyBorder="1" applyAlignment="1">
      <alignment horizontal="left" vertical="center"/>
    </xf>
    <xf numFmtId="0" fontId="101" fillId="0" borderId="0" xfId="0" applyFont="1" applyAlignment="1">
      <alignment horizontal="right" vertical="center"/>
    </xf>
    <xf numFmtId="0" fontId="100" fillId="0" borderId="0" xfId="0" applyFont="1" applyAlignment="1">
      <alignment horizontal="right" vertical="center"/>
    </xf>
    <xf numFmtId="0" fontId="6" fillId="27" borderId="1" xfId="8" applyFont="1" applyFill="1" applyBorder="1" applyAlignment="1">
      <alignment horizontal="left" vertical="center" wrapText="1"/>
    </xf>
    <xf numFmtId="0" fontId="6" fillId="27" borderId="1" xfId="8" applyFont="1" applyFill="1" applyBorder="1" applyAlignment="1">
      <alignment horizontal="center" vertical="center" wrapText="1"/>
    </xf>
    <xf numFmtId="0" fontId="6" fillId="2" borderId="1" xfId="9" applyFont="1" applyFill="1" applyBorder="1" applyAlignment="1">
      <alignment horizontal="center" vertical="center" wrapText="1"/>
    </xf>
    <xf numFmtId="173" fontId="6" fillId="2" borderId="1" xfId="1" applyNumberFormat="1" applyFont="1" applyFill="1" applyBorder="1" applyAlignment="1">
      <alignment horizontal="right" vertical="center" wrapText="1"/>
    </xf>
    <xf numFmtId="0" fontId="100" fillId="2" borderId="1" xfId="0" applyFont="1" applyFill="1" applyBorder="1" applyAlignment="1">
      <alignment horizontal="left" vertical="center"/>
    </xf>
    <xf numFmtId="0" fontId="103" fillId="0" borderId="0" xfId="0" applyFont="1" applyAlignment="1">
      <alignment horizontal="right" vertical="center"/>
    </xf>
    <xf numFmtId="0" fontId="102" fillId="0" borderId="0" xfId="0" applyFont="1" applyAlignment="1">
      <alignment horizontal="right" vertical="center"/>
    </xf>
    <xf numFmtId="0" fontId="6" fillId="2" borderId="1" xfId="9" applyFont="1" applyFill="1" applyBorder="1" applyAlignment="1">
      <alignment horizontal="justify" vertical="center" wrapText="1"/>
    </xf>
    <xf numFmtId="0" fontId="6" fillId="2" borderId="1" xfId="8" applyFont="1" applyFill="1" applyBorder="1" applyAlignment="1">
      <alignment horizontal="left" vertical="center" wrapText="1"/>
    </xf>
    <xf numFmtId="0" fontId="6" fillId="2" borderId="1" xfId="8" applyFont="1" applyFill="1" applyBorder="1" applyAlignment="1">
      <alignment horizontal="center" vertical="center" wrapText="1"/>
    </xf>
    <xf numFmtId="0" fontId="6" fillId="2" borderId="1" xfId="9" applyFont="1" applyFill="1" applyBorder="1" applyAlignment="1">
      <alignment horizontal="left" vertical="center" wrapText="1"/>
    </xf>
    <xf numFmtId="0" fontId="6" fillId="2" borderId="1" xfId="0" applyFont="1" applyFill="1" applyBorder="1" applyAlignment="1">
      <alignment horizontal="center" vertical="center" wrapText="1"/>
    </xf>
    <xf numFmtId="168" fontId="6" fillId="2" borderId="1" xfId="1" applyNumberFormat="1" applyFont="1" applyFill="1" applyBorder="1" applyAlignment="1" applyProtection="1">
      <alignment horizontal="left" vertical="center" wrapText="1"/>
      <protection locked="0"/>
    </xf>
    <xf numFmtId="1" fontId="6" fillId="2" borderId="1" xfId="5" applyNumberFormat="1" applyFill="1" applyBorder="1" applyAlignment="1">
      <alignment horizontal="left" vertical="center" wrapText="1"/>
    </xf>
    <xf numFmtId="1" fontId="6" fillId="27" borderId="1" xfId="8" applyNumberFormat="1" applyFont="1" applyFill="1" applyBorder="1" applyAlignment="1">
      <alignment horizontal="center" vertical="center" wrapText="1"/>
    </xf>
    <xf numFmtId="0" fontId="6" fillId="2" borderId="1" xfId="56" applyFont="1" applyFill="1" applyBorder="1" applyAlignment="1">
      <alignment horizontal="center" vertical="center" wrapText="1"/>
    </xf>
    <xf numFmtId="0" fontId="6" fillId="2" borderId="1" xfId="56" applyFont="1" applyFill="1" applyBorder="1" applyAlignment="1">
      <alignment horizontal="left" vertical="center" wrapText="1"/>
    </xf>
    <xf numFmtId="173" fontId="3" fillId="2" borderId="1" xfId="1" applyNumberFormat="1" applyFont="1" applyFill="1" applyBorder="1" applyAlignment="1">
      <alignment horizontal="right" vertical="center" wrapText="1"/>
    </xf>
    <xf numFmtId="0" fontId="3" fillId="0" borderId="0" xfId="0" applyFont="1" applyAlignment="1">
      <alignment horizontal="right" vertical="center"/>
    </xf>
    <xf numFmtId="171" fontId="6" fillId="2" borderId="1" xfId="1" applyNumberFormat="1" applyFont="1" applyFill="1" applyBorder="1" applyAlignment="1" applyProtection="1">
      <alignment horizontal="right" vertical="center" wrapText="1"/>
      <protection locked="0"/>
    </xf>
    <xf numFmtId="173" fontId="6" fillId="2" borderId="1" xfId="0" applyNumberFormat="1" applyFont="1" applyFill="1" applyBorder="1" applyAlignment="1" applyProtection="1">
      <alignment horizontal="right" vertical="center" wrapText="1"/>
      <protection locked="0"/>
    </xf>
    <xf numFmtId="0" fontId="6" fillId="2" borderId="1" xfId="0" applyFont="1" applyFill="1" applyBorder="1" applyAlignment="1">
      <alignment horizontal="left" vertical="center" wrapText="1"/>
    </xf>
    <xf numFmtId="171" fontId="6" fillId="2" borderId="1" xfId="1" applyNumberFormat="1" applyFont="1" applyFill="1" applyBorder="1" applyAlignment="1">
      <alignment horizontal="right" vertical="center" wrapText="1"/>
    </xf>
    <xf numFmtId="0" fontId="6" fillId="2" borderId="1" xfId="0" applyFont="1" applyFill="1" applyBorder="1" applyAlignment="1">
      <alignment horizontal="justify" vertical="center" wrapText="1"/>
    </xf>
    <xf numFmtId="0" fontId="100" fillId="2" borderId="1" xfId="0" applyFont="1" applyFill="1" applyBorder="1" applyAlignment="1">
      <alignment horizontal="justify" vertical="center" wrapText="1"/>
    </xf>
    <xf numFmtId="0" fontId="100" fillId="2" borderId="1" xfId="0" applyFont="1" applyFill="1" applyBorder="1" applyAlignment="1">
      <alignment horizontal="center" vertical="center" wrapText="1"/>
    </xf>
    <xf numFmtId="206" fontId="6" fillId="2" borderId="1" xfId="0" applyNumberFormat="1" applyFont="1" applyFill="1" applyBorder="1" applyAlignment="1" applyProtection="1">
      <alignment horizontal="right" vertical="center" wrapText="1"/>
      <protection locked="0"/>
    </xf>
    <xf numFmtId="168"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170" fontId="6" fillId="2" borderId="1" xfId="1" applyNumberFormat="1" applyFont="1" applyFill="1" applyBorder="1" applyAlignment="1" applyProtection="1">
      <alignment vertical="center" wrapText="1"/>
      <protection locked="0"/>
    </xf>
    <xf numFmtId="168" fontId="6" fillId="2" borderId="1" xfId="1" applyNumberFormat="1" applyFont="1" applyFill="1" applyBorder="1" applyAlignment="1">
      <alignment horizontal="center" wrapText="1"/>
    </xf>
    <xf numFmtId="0" fontId="10" fillId="2" borderId="0" xfId="0" applyFont="1" applyFill="1" applyAlignment="1">
      <alignment horizontal="right" vertical="center"/>
    </xf>
    <xf numFmtId="173" fontId="6" fillId="2" borderId="1" xfId="1" applyNumberFormat="1" applyFont="1" applyFill="1" applyBorder="1" applyAlignment="1" applyProtection="1">
      <alignment horizontal="right" vertical="center" wrapText="1"/>
      <protection locked="0"/>
    </xf>
    <xf numFmtId="171" fontId="6" fillId="2" borderId="1" xfId="2" applyNumberFormat="1" applyFont="1" applyFill="1" applyBorder="1" applyAlignment="1">
      <alignment horizontal="right" vertical="center"/>
    </xf>
    <xf numFmtId="174" fontId="6" fillId="2" borderId="1" xfId="0" applyNumberFormat="1" applyFont="1" applyFill="1" applyBorder="1" applyAlignment="1" applyProtection="1">
      <alignment horizontal="right" vertical="center" wrapText="1"/>
      <protection locked="0"/>
    </xf>
    <xf numFmtId="0" fontId="6" fillId="2" borderId="1" xfId="0" applyFont="1" applyFill="1" applyBorder="1" applyAlignment="1">
      <alignment vertical="center" wrapText="1"/>
    </xf>
    <xf numFmtId="0" fontId="8" fillId="2" borderId="1" xfId="0" applyFont="1" applyFill="1" applyBorder="1" applyAlignment="1">
      <alignment horizontal="left" vertical="center"/>
    </xf>
    <xf numFmtId="0" fontId="40" fillId="0" borderId="0" xfId="0" applyFont="1" applyAlignment="1">
      <alignment horizontal="right" vertical="center"/>
    </xf>
    <xf numFmtId="175" fontId="4" fillId="0" borderId="0" xfId="0" applyNumberFormat="1" applyFont="1" applyAlignment="1">
      <alignment horizontal="right" vertical="center"/>
    </xf>
    <xf numFmtId="175" fontId="6" fillId="2" borderId="1" xfId="0" applyNumberFormat="1" applyFont="1" applyFill="1" applyBorder="1" applyAlignment="1">
      <alignment horizontal="right" vertical="center"/>
    </xf>
    <xf numFmtId="0" fontId="40" fillId="2" borderId="0" xfId="0" applyFont="1" applyFill="1" applyAlignment="1">
      <alignment horizontal="right" vertical="center"/>
    </xf>
    <xf numFmtId="175" fontId="4" fillId="2" borderId="0" xfId="0" applyNumberFormat="1" applyFont="1" applyFill="1" applyAlignment="1">
      <alignment horizontal="right" vertical="center"/>
    </xf>
    <xf numFmtId="0" fontId="7" fillId="2" borderId="0" xfId="0" applyFont="1" applyFill="1" applyAlignment="1">
      <alignment horizontal="right" vertical="center"/>
    </xf>
    <xf numFmtId="205" fontId="6" fillId="2" borderId="1" xfId="0" applyNumberFormat="1" applyFont="1" applyFill="1" applyBorder="1" applyAlignment="1">
      <alignment horizontal="right" vertical="center"/>
    </xf>
    <xf numFmtId="0" fontId="90" fillId="2" borderId="0" xfId="0" applyFont="1" applyFill="1" applyAlignment="1">
      <alignment horizontal="right" vertical="center"/>
    </xf>
    <xf numFmtId="0" fontId="9" fillId="2" borderId="0" xfId="0" applyFont="1" applyFill="1" applyAlignment="1">
      <alignment horizontal="right" vertical="center"/>
    </xf>
    <xf numFmtId="0" fontId="90" fillId="0" borderId="0" xfId="0" applyFont="1" applyAlignment="1">
      <alignment horizontal="right" vertical="center"/>
    </xf>
    <xf numFmtId="0" fontId="9" fillId="0" borderId="0" xfId="0" applyFont="1" applyAlignment="1">
      <alignment horizontal="right" vertical="center"/>
    </xf>
    <xf numFmtId="0" fontId="98" fillId="0" borderId="0" xfId="0" applyFont="1" applyAlignment="1">
      <alignment horizontal="right" vertical="center"/>
    </xf>
    <xf numFmtId="0" fontId="99" fillId="0" borderId="0" xfId="0" applyFont="1" applyAlignment="1">
      <alignment horizontal="right" vertical="center"/>
    </xf>
    <xf numFmtId="0" fontId="87" fillId="2" borderId="0" xfId="0" applyFont="1" applyFill="1" applyAlignment="1">
      <alignment horizontal="right" vertical="center"/>
    </xf>
    <xf numFmtId="0" fontId="7" fillId="0" borderId="0" xfId="0" applyFont="1" applyAlignment="1">
      <alignment horizontal="left"/>
    </xf>
    <xf numFmtId="0" fontId="6" fillId="0" borderId="0" xfId="0" applyFont="1" applyAlignment="1">
      <alignment horizontal="center"/>
    </xf>
    <xf numFmtId="2" fontId="7" fillId="2" borderId="0" xfId="0" applyNumberFormat="1" applyFont="1" applyFill="1"/>
    <xf numFmtId="0" fontId="104" fillId="0" borderId="0" xfId="0" applyFont="1" applyAlignment="1">
      <alignment horizontal="center" vertical="center" wrapText="1"/>
    </xf>
    <xf numFmtId="0" fontId="104" fillId="0" borderId="0" xfId="0" applyFont="1" applyAlignment="1">
      <alignment horizontal="center" wrapText="1"/>
    </xf>
    <xf numFmtId="0" fontId="15" fillId="2" borderId="0" xfId="0" applyFont="1" applyFill="1" applyAlignment="1">
      <alignment horizontal="left" vertical="center"/>
    </xf>
    <xf numFmtId="171" fontId="7" fillId="0" borderId="0" xfId="0" applyNumberFormat="1" applyFont="1"/>
    <xf numFmtId="175" fontId="7" fillId="0" borderId="0" xfId="0" applyNumberFormat="1" applyFont="1"/>
    <xf numFmtId="0" fontId="6" fillId="2" borderId="0" xfId="0" applyFont="1" applyFill="1"/>
    <xf numFmtId="175" fontId="6" fillId="2" borderId="0" xfId="0" applyNumberFormat="1" applyFont="1" applyFill="1"/>
    <xf numFmtId="169" fontId="6" fillId="2" borderId="0" xfId="0" applyNumberFormat="1" applyFont="1" applyFill="1"/>
    <xf numFmtId="173" fontId="3" fillId="2" borderId="1" xfId="0" applyNumberFormat="1" applyFont="1" applyFill="1" applyBorder="1" applyAlignment="1" applyProtection="1">
      <alignment horizontal="center" vertical="center" wrapText="1"/>
      <protection locked="0"/>
    </xf>
    <xf numFmtId="168" fontId="89"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173" fontId="3" fillId="2" borderId="1" xfId="0" applyNumberFormat="1" applyFont="1" applyFill="1" applyBorder="1" applyAlignment="1" applyProtection="1">
      <alignment horizontal="right" vertical="center" wrapText="1"/>
      <protection locked="0"/>
    </xf>
    <xf numFmtId="0" fontId="6" fillId="2" borderId="1" xfId="0" applyFont="1" applyFill="1" applyBorder="1" applyAlignment="1">
      <alignment horizontal="right" vertical="center"/>
    </xf>
    <xf numFmtId="173" fontId="3" fillId="2" borderId="1" xfId="1" applyNumberFormat="1" applyFont="1" applyFill="1" applyBorder="1" applyAlignment="1" applyProtection="1">
      <alignment horizontal="right" vertical="center" wrapText="1"/>
      <protection locked="0"/>
    </xf>
    <xf numFmtId="0" fontId="6" fillId="2" borderId="1" xfId="1"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168" fontId="3" fillId="2" borderId="1" xfId="1" applyNumberFormat="1" applyFont="1" applyFill="1" applyBorder="1" applyAlignment="1" applyProtection="1">
      <alignment horizontal="left" vertical="center" wrapText="1"/>
      <protection locked="0"/>
    </xf>
    <xf numFmtId="168" fontId="3" fillId="2" borderId="1" xfId="1" applyNumberFormat="1" applyFont="1" applyFill="1" applyBorder="1" applyAlignment="1" applyProtection="1">
      <alignment horizontal="center" vertical="center" wrapText="1"/>
      <protection locked="0"/>
    </xf>
    <xf numFmtId="49" fontId="6" fillId="2" borderId="1" xfId="57" quotePrefix="1" applyNumberFormat="1" applyFont="1" applyFill="1" applyBorder="1" applyAlignment="1">
      <alignment horizontal="center" vertical="center" wrapText="1"/>
    </xf>
    <xf numFmtId="169" fontId="6" fillId="2" borderId="1" xfId="6" applyNumberFormat="1" applyFont="1" applyFill="1" applyBorder="1" applyAlignment="1">
      <alignment vertical="center" wrapText="1"/>
    </xf>
    <xf numFmtId="171" fontId="6" fillId="2" borderId="1" xfId="56" applyNumberFormat="1" applyFont="1" applyFill="1" applyBorder="1" applyAlignment="1">
      <alignment vertical="center" wrapText="1"/>
    </xf>
    <xf numFmtId="168" fontId="6" fillId="2" borderId="2" xfId="1" applyNumberFormat="1" applyFont="1" applyFill="1" applyBorder="1" applyAlignment="1">
      <alignment vertical="center" wrapText="1"/>
    </xf>
    <xf numFmtId="168" fontId="6" fillId="2" borderId="1" xfId="1" applyNumberFormat="1" applyFont="1" applyFill="1" applyBorder="1" applyAlignment="1">
      <alignment vertical="center" wrapText="1"/>
    </xf>
    <xf numFmtId="0" fontId="3" fillId="2" borderId="1" xfId="0" applyFont="1" applyFill="1" applyBorder="1" applyAlignment="1">
      <alignment vertical="center" wrapText="1"/>
    </xf>
    <xf numFmtId="174" fontId="3" fillId="2" borderId="1" xfId="0" applyNumberFormat="1" applyFont="1" applyFill="1" applyBorder="1" applyAlignment="1" applyProtection="1">
      <alignment horizontal="right" vertical="center" wrapText="1"/>
      <protection locked="0"/>
    </xf>
    <xf numFmtId="0" fontId="6" fillId="2" borderId="1" xfId="1" applyNumberFormat="1" applyFont="1" applyFill="1" applyBorder="1" applyAlignment="1">
      <alignment horizontal="center" vertical="center"/>
    </xf>
    <xf numFmtId="0" fontId="3" fillId="2" borderId="1" xfId="0" applyFont="1" applyFill="1" applyBorder="1" applyAlignment="1">
      <alignment horizontal="right" vertical="center"/>
    </xf>
    <xf numFmtId="207" fontId="7" fillId="0" borderId="0" xfId="0" applyNumberFormat="1" applyFont="1" applyAlignment="1">
      <alignment horizontal="center" vertical="center"/>
    </xf>
    <xf numFmtId="0" fontId="3" fillId="2" borderId="1" xfId="0" applyFont="1" applyFill="1" applyBorder="1" applyAlignment="1">
      <alignment horizontal="center" vertical="center" wrapText="1"/>
    </xf>
    <xf numFmtId="49" fontId="6" fillId="2" borderId="1" xfId="1" applyNumberFormat="1" applyFont="1" applyFill="1" applyBorder="1" applyAlignment="1" applyProtection="1">
      <alignment horizontal="center" vertical="center" wrapText="1"/>
      <protection locked="0"/>
    </xf>
    <xf numFmtId="172" fontId="3" fillId="2" borderId="0" xfId="0" applyNumberFormat="1" applyFont="1" applyFill="1" applyAlignment="1" applyProtection="1">
      <alignment horizontal="center" vertical="center" wrapText="1"/>
      <protection locked="0"/>
    </xf>
    <xf numFmtId="207" fontId="4" fillId="2" borderId="0" xfId="0" applyNumberFormat="1" applyFont="1" applyFill="1" applyAlignment="1">
      <alignment horizontal="right" vertical="center"/>
    </xf>
    <xf numFmtId="0" fontId="3" fillId="2" borderId="1" xfId="14" applyFont="1" applyFill="1" applyBorder="1" applyAlignment="1">
      <alignment horizontal="center" vertical="center" wrapText="1"/>
    </xf>
    <xf numFmtId="0" fontId="10" fillId="3" borderId="0" xfId="0" applyFont="1" applyFill="1" applyAlignment="1">
      <alignment horizontal="right" vertical="center"/>
    </xf>
    <xf numFmtId="0" fontId="6" fillId="3" borderId="0" xfId="0" applyFont="1" applyFill="1" applyAlignment="1">
      <alignment horizontal="right" vertical="center"/>
    </xf>
    <xf numFmtId="0" fontId="40" fillId="3" borderId="0" xfId="0" applyFont="1" applyFill="1" applyAlignment="1">
      <alignment horizontal="right" vertical="center"/>
    </xf>
    <xf numFmtId="0" fontId="3" fillId="2" borderId="0" xfId="0" applyFont="1" applyFill="1" applyAlignment="1">
      <alignment horizontal="right" vertical="center"/>
    </xf>
    <xf numFmtId="173" fontId="6" fillId="2" borderId="0" xfId="0" applyNumberFormat="1" applyFont="1" applyFill="1"/>
    <xf numFmtId="0" fontId="3"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right" wrapText="1"/>
    </xf>
    <xf numFmtId="0" fontId="6" fillId="2" borderId="0" xfId="0" applyFont="1" applyFill="1" applyAlignment="1">
      <alignment horizontal="center" vertical="center"/>
    </xf>
    <xf numFmtId="0" fontId="3" fillId="2" borderId="1" xfId="1" applyNumberFormat="1" applyFont="1" applyFill="1" applyBorder="1" applyAlignment="1">
      <alignment horizontal="center" vertical="center"/>
    </xf>
    <xf numFmtId="0" fontId="100" fillId="2" borderId="1" xfId="0" applyFont="1" applyFill="1" applyBorder="1" applyAlignment="1">
      <alignment horizontal="center" vertical="center"/>
    </xf>
    <xf numFmtId="168" fontId="100" fillId="2" borderId="1" xfId="1" applyNumberFormat="1" applyFont="1" applyFill="1" applyBorder="1" applyAlignment="1" applyProtection="1">
      <alignment horizontal="left" vertical="center" wrapText="1"/>
      <protection locked="0"/>
    </xf>
    <xf numFmtId="168" fontId="100" fillId="2" borderId="1" xfId="1"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168" fontId="8" fillId="2" borderId="1" xfId="1" applyNumberFormat="1" applyFont="1" applyFill="1" applyBorder="1" applyAlignment="1" applyProtection="1">
      <alignment horizontal="left" vertical="center" wrapText="1"/>
      <protection locked="0"/>
    </xf>
    <xf numFmtId="168" fontId="8" fillId="2" borderId="1" xfId="1" applyNumberFormat="1" applyFont="1" applyFill="1" applyBorder="1" applyAlignment="1" applyProtection="1">
      <alignment horizontal="center" vertical="center" wrapText="1"/>
      <protection locked="0"/>
    </xf>
    <xf numFmtId="174" fontId="8" fillId="2" borderId="1" xfId="0" applyNumberFormat="1" applyFont="1" applyFill="1" applyBorder="1" applyAlignment="1" applyProtection="1">
      <alignment horizontal="right" vertical="center" wrapText="1"/>
      <protection locked="0"/>
    </xf>
    <xf numFmtId="174" fontId="100" fillId="2" borderId="1" xfId="0" applyNumberFormat="1" applyFont="1" applyFill="1" applyBorder="1" applyAlignment="1" applyProtection="1">
      <alignment horizontal="right" vertical="center" wrapText="1"/>
      <protection locked="0"/>
    </xf>
    <xf numFmtId="0" fontId="100" fillId="2" borderId="1" xfId="0" applyFont="1" applyFill="1" applyBorder="1" applyAlignment="1">
      <alignment horizontal="right" vertical="center"/>
    </xf>
    <xf numFmtId="168" fontId="100"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xf>
    <xf numFmtId="168" fontId="100" fillId="2" borderId="1" xfId="1" applyNumberFormat="1" applyFont="1" applyFill="1" applyBorder="1" applyAlignment="1">
      <alignment vertical="center"/>
    </xf>
    <xf numFmtId="168" fontId="100" fillId="2" borderId="1" xfId="1" applyNumberFormat="1" applyFont="1" applyFill="1" applyBorder="1" applyAlignment="1">
      <alignment horizontal="center" vertical="center"/>
    </xf>
    <xf numFmtId="168" fontId="6" fillId="2" borderId="1" xfId="1" applyNumberFormat="1" applyFont="1" applyFill="1" applyBorder="1" applyAlignment="1">
      <alignment horizontal="center" vertical="center"/>
    </xf>
    <xf numFmtId="175" fontId="3" fillId="2" borderId="1" xfId="0" applyNumberFormat="1" applyFont="1" applyFill="1" applyBorder="1" applyAlignment="1">
      <alignment horizontal="right" vertical="center"/>
    </xf>
    <xf numFmtId="49" fontId="100" fillId="2" borderId="1" xfId="1" applyNumberFormat="1" applyFont="1" applyFill="1" applyBorder="1" applyAlignment="1" applyProtection="1">
      <alignment horizontal="center" vertical="center" wrapText="1"/>
      <protection locked="0"/>
    </xf>
    <xf numFmtId="171" fontId="100" fillId="2" borderId="1" xfId="1" applyNumberFormat="1" applyFont="1" applyFill="1" applyBorder="1" applyAlignment="1">
      <alignment horizontal="right" vertical="center" wrapText="1"/>
    </xf>
    <xf numFmtId="0" fontId="100" fillId="2" borderId="1" xfId="1" applyNumberFormat="1" applyFont="1" applyFill="1" applyBorder="1" applyAlignment="1">
      <alignment horizontal="center" vertical="center"/>
    </xf>
    <xf numFmtId="168" fontId="6" fillId="2" borderId="1" xfId="1" applyNumberFormat="1" applyFont="1" applyFill="1" applyBorder="1" applyAlignment="1">
      <alignment horizontal="right" vertical="center" wrapText="1"/>
    </xf>
    <xf numFmtId="171" fontId="6" fillId="2" borderId="1" xfId="2" applyNumberFormat="1" applyFont="1" applyFill="1" applyBorder="1" applyAlignment="1">
      <alignment vertical="center"/>
    </xf>
    <xf numFmtId="175" fontId="100" fillId="2" borderId="1" xfId="0" applyNumberFormat="1" applyFont="1" applyFill="1" applyBorder="1" applyAlignment="1">
      <alignment horizontal="right" vertical="center"/>
    </xf>
    <xf numFmtId="172" fontId="100" fillId="2" borderId="0" xfId="0" applyNumberFormat="1" applyFont="1" applyFill="1" applyAlignment="1" applyProtection="1">
      <alignment horizontal="center" vertical="center" wrapText="1"/>
      <protection locked="0"/>
    </xf>
    <xf numFmtId="0" fontId="6" fillId="2" borderId="1" xfId="0" applyFont="1" applyFill="1" applyBorder="1"/>
    <xf numFmtId="168" fontId="3" fillId="2" borderId="1" xfId="1" applyNumberFormat="1" applyFont="1" applyFill="1" applyBorder="1" applyAlignment="1">
      <alignment horizontal="center" wrapText="1"/>
    </xf>
    <xf numFmtId="205" fontId="3" fillId="2" borderId="1" xfId="0" applyNumberFormat="1" applyFont="1" applyFill="1" applyBorder="1" applyAlignment="1">
      <alignment horizontal="right" vertical="center"/>
    </xf>
    <xf numFmtId="170" fontId="6" fillId="2" borderId="1" xfId="1" applyNumberFormat="1" applyFont="1" applyFill="1" applyBorder="1" applyAlignment="1">
      <alignment horizontal="center" vertical="center" wrapText="1"/>
    </xf>
    <xf numFmtId="0" fontId="6" fillId="2" borderId="1" xfId="240" applyFont="1" applyFill="1" applyBorder="1" applyAlignment="1">
      <alignment vertical="center" wrapText="1"/>
    </xf>
    <xf numFmtId="0" fontId="6" fillId="2" borderId="1" xfId="240" applyFont="1" applyFill="1" applyBorder="1" applyAlignment="1">
      <alignment horizontal="center" vertical="center" wrapText="1"/>
    </xf>
    <xf numFmtId="174" fontId="6" fillId="2" borderId="1" xfId="0" applyNumberFormat="1" applyFont="1" applyFill="1" applyBorder="1"/>
    <xf numFmtId="0" fontId="87" fillId="2" borderId="1" xfId="0" applyFont="1" applyFill="1" applyBorder="1" applyAlignment="1">
      <alignment horizontal="center" vertical="center" wrapText="1"/>
    </xf>
    <xf numFmtId="0" fontId="88" fillId="0" borderId="1" xfId="0" applyFont="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2" fontId="3" fillId="2" borderId="1" xfId="0" applyNumberFormat="1" applyFont="1" applyFill="1" applyBorder="1" applyAlignment="1">
      <alignment horizontal="center" vertical="center" wrapText="1"/>
    </xf>
    <xf numFmtId="171" fontId="3" fillId="2" borderId="1" xfId="4" applyNumberFormat="1" applyFont="1" applyFill="1" applyBorder="1" applyAlignment="1">
      <alignment horizontal="center" vertical="center" wrapText="1"/>
    </xf>
    <xf numFmtId="0" fontId="7" fillId="2" borderId="0" xfId="0" applyFont="1" applyFill="1" applyAlignment="1">
      <alignment horizontal="center" vertical="center"/>
    </xf>
    <xf numFmtId="0" fontId="7" fillId="0" borderId="1" xfId="0" applyFont="1" applyBorder="1" applyAlignment="1">
      <alignment horizontal="center" vertical="center"/>
    </xf>
    <xf numFmtId="0" fontId="7" fillId="2" borderId="1" xfId="0" applyFont="1" applyFill="1" applyBorder="1"/>
    <xf numFmtId="0" fontId="7" fillId="0" borderId="1" xfId="0" applyFont="1" applyBorder="1"/>
    <xf numFmtId="2" fontId="7" fillId="2" borderId="1" xfId="0" applyNumberFormat="1" applyFont="1" applyFill="1" applyBorder="1"/>
    <xf numFmtId="174" fontId="7" fillId="0" borderId="1" xfId="0" applyNumberFormat="1" applyFont="1" applyBorder="1"/>
    <xf numFmtId="0" fontId="7" fillId="28" borderId="1" xfId="0" applyFont="1" applyFill="1" applyBorder="1" applyAlignment="1">
      <alignment horizontal="center"/>
    </xf>
    <xf numFmtId="0" fontId="6" fillId="28" borderId="1" xfId="0" applyFont="1" applyFill="1" applyBorder="1" applyAlignment="1">
      <alignment horizontal="center" vertical="center" wrapText="1"/>
    </xf>
    <xf numFmtId="165" fontId="6" fillId="2" borderId="1" xfId="2" applyFont="1" applyFill="1" applyBorder="1" applyAlignment="1">
      <alignment vertical="center"/>
    </xf>
    <xf numFmtId="0" fontId="6" fillId="2" borderId="2" xfId="0" applyFont="1" applyFill="1" applyBorder="1" applyAlignment="1">
      <alignment horizontal="left" vertical="center" wrapText="1"/>
    </xf>
    <xf numFmtId="172" fontId="6" fillId="2" borderId="0" xfId="0" applyNumberFormat="1" applyFont="1" applyFill="1" applyAlignment="1" applyProtection="1">
      <alignment horizontal="center" vertical="center" wrapText="1"/>
      <protection locked="0"/>
    </xf>
    <xf numFmtId="0" fontId="7" fillId="0" borderId="1" xfId="0" applyFont="1" applyBorder="1" applyAlignment="1">
      <alignment horizontal="center" vertical="center" wrapText="1"/>
    </xf>
    <xf numFmtId="171" fontId="7" fillId="0" borderId="1" xfId="0" applyNumberFormat="1" applyFont="1" applyBorder="1" applyAlignment="1">
      <alignment horizontal="right" vertical="center" wrapText="1"/>
    </xf>
    <xf numFmtId="171" fontId="7" fillId="2" borderId="1" xfId="0" applyNumberFormat="1" applyFont="1" applyFill="1" applyBorder="1" applyAlignment="1">
      <alignment horizontal="right" vertical="center" wrapText="1"/>
    </xf>
    <xf numFmtId="0" fontId="7" fillId="0" borderId="1" xfId="0" applyFont="1" applyBorder="1" applyAlignment="1">
      <alignment horizontal="center" wrapText="1"/>
    </xf>
    <xf numFmtId="0" fontId="4" fillId="2" borderId="1" xfId="0" applyFont="1" applyFill="1" applyBorder="1" applyAlignment="1">
      <alignment vertical="center" wrapText="1"/>
    </xf>
    <xf numFmtId="0" fontId="7" fillId="0" borderId="1" xfId="0" applyFont="1" applyBorder="1" applyAlignment="1">
      <alignment vertical="center" wrapText="1"/>
    </xf>
    <xf numFmtId="0" fontId="4" fillId="0" borderId="0" xfId="0" applyFont="1"/>
    <xf numFmtId="0" fontId="107" fillId="0" borderId="0" xfId="0" applyFont="1" applyAlignment="1">
      <alignment horizontal="center" wrapText="1"/>
    </xf>
    <xf numFmtId="0" fontId="19" fillId="2" borderId="0" xfId="0" applyFont="1" applyFill="1" applyAlignment="1">
      <alignment horizontal="left" vertical="center"/>
    </xf>
    <xf numFmtId="0" fontId="4" fillId="0" borderId="1" xfId="0" applyFont="1" applyBorder="1" applyAlignment="1">
      <alignment horizontal="center"/>
    </xf>
    <xf numFmtId="0" fontId="3" fillId="0" borderId="1" xfId="0" applyFont="1" applyBorder="1" applyAlignment="1">
      <alignment horizontal="center"/>
    </xf>
    <xf numFmtId="0" fontId="4" fillId="0" borderId="1" xfId="0" applyFont="1" applyBorder="1"/>
    <xf numFmtId="0" fontId="107" fillId="0" borderId="1" xfId="0" applyFont="1" applyBorder="1" applyAlignment="1">
      <alignment horizontal="center" vertical="center" wrapText="1"/>
    </xf>
    <xf numFmtId="0" fontId="104" fillId="0" borderId="1" xfId="0" applyFont="1" applyBorder="1" applyAlignment="1">
      <alignment horizontal="center" vertical="center" wrapText="1"/>
    </xf>
    <xf numFmtId="173" fontId="4" fillId="2" borderId="1" xfId="0" applyNumberFormat="1" applyFont="1" applyFill="1" applyBorder="1"/>
    <xf numFmtId="0" fontId="108" fillId="2" borderId="1" xfId="0" applyFont="1" applyFill="1" applyBorder="1" applyAlignment="1" applyProtection="1">
      <alignment horizontal="center" vertical="center" wrapText="1"/>
      <protection locked="0"/>
    </xf>
    <xf numFmtId="170" fontId="3" fillId="2" borderId="1" xfId="1" applyNumberFormat="1" applyFont="1" applyFill="1" applyBorder="1" applyAlignment="1" applyProtection="1">
      <alignment vertical="center" wrapText="1"/>
      <protection locked="0"/>
    </xf>
    <xf numFmtId="175" fontId="8" fillId="2" borderId="1" xfId="0" applyNumberFormat="1" applyFont="1" applyFill="1" applyBorder="1" applyAlignment="1">
      <alignment horizontal="right" vertical="center"/>
    </xf>
    <xf numFmtId="0" fontId="107" fillId="0" borderId="0" xfId="0" applyFont="1" applyAlignment="1">
      <alignment horizontal="center" vertical="center" wrapText="1"/>
    </xf>
    <xf numFmtId="0" fontId="4" fillId="0" borderId="0" xfId="0" applyFont="1" applyAlignment="1">
      <alignment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vertical="center"/>
    </xf>
    <xf numFmtId="0" fontId="4" fillId="0" borderId="1" xfId="0" applyFont="1" applyBorder="1" applyAlignment="1">
      <alignment vertical="center"/>
    </xf>
    <xf numFmtId="2" fontId="4" fillId="2" borderId="1" xfId="0" applyNumberFormat="1" applyFont="1" applyFill="1" applyBorder="1" applyAlignment="1">
      <alignment vertical="center"/>
    </xf>
    <xf numFmtId="0" fontId="7" fillId="0" borderId="1" xfId="0" applyFont="1" applyBorder="1" applyAlignment="1">
      <alignment horizontal="center"/>
    </xf>
    <xf numFmtId="0" fontId="6" fillId="0" borderId="1" xfId="0" applyFont="1" applyBorder="1" applyAlignment="1">
      <alignment horizontal="center"/>
    </xf>
    <xf numFmtId="175" fontId="7" fillId="0" borderId="1" xfId="0" applyNumberFormat="1" applyFont="1" applyBorder="1"/>
    <xf numFmtId="0" fontId="6" fillId="0" borderId="1" xfId="0" applyFont="1" applyBorder="1" applyAlignment="1">
      <alignment horizontal="center" vertical="center"/>
    </xf>
    <xf numFmtId="208" fontId="6" fillId="0" borderId="0" xfId="0" applyNumberFormat="1" applyFont="1" applyAlignment="1">
      <alignment horizontal="right" vertical="center"/>
    </xf>
    <xf numFmtId="0" fontId="7" fillId="2" borderId="1" xfId="0" applyFont="1" applyFill="1" applyBorder="1" applyAlignment="1">
      <alignment vertical="center"/>
    </xf>
    <xf numFmtId="173" fontId="7" fillId="2" borderId="1" xfId="0" applyNumberFormat="1" applyFont="1" applyFill="1" applyBorder="1"/>
    <xf numFmtId="171" fontId="106" fillId="2" borderId="0" xfId="0" applyNumberFormat="1" applyFont="1" applyFill="1"/>
    <xf numFmtId="171" fontId="4" fillId="2" borderId="1" xfId="0" applyNumberFormat="1" applyFont="1" applyFill="1" applyBorder="1" applyAlignment="1">
      <alignment vertical="center"/>
    </xf>
    <xf numFmtId="169" fontId="7" fillId="2" borderId="1" xfId="0" applyNumberFormat="1" applyFont="1" applyFill="1" applyBorder="1" applyAlignment="1">
      <alignment horizontal="right" vertical="center"/>
    </xf>
    <xf numFmtId="0" fontId="4" fillId="2"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170" fontId="6" fillId="2" borderId="1" xfId="1" applyNumberFormat="1" applyFont="1" applyFill="1" applyBorder="1" applyAlignment="1">
      <alignment horizontal="right" vertical="center" wrapText="1"/>
    </xf>
    <xf numFmtId="174" fontId="3" fillId="2" borderId="1" xfId="1" applyNumberFormat="1" applyFont="1" applyFill="1" applyBorder="1" applyAlignment="1">
      <alignment horizontal="right" vertical="center" wrapText="1"/>
    </xf>
    <xf numFmtId="0" fontId="100" fillId="0" borderId="1" xfId="0" applyFont="1" applyBorder="1" applyAlignment="1">
      <alignment horizontal="center" vertical="center"/>
    </xf>
    <xf numFmtId="168" fontId="100" fillId="0" borderId="1" xfId="1" applyNumberFormat="1" applyFont="1" applyFill="1" applyBorder="1" applyAlignment="1" applyProtection="1">
      <alignment horizontal="left" vertical="center" wrapText="1"/>
      <protection locked="0"/>
    </xf>
    <xf numFmtId="168" fontId="100" fillId="0" borderId="1" xfId="1" applyNumberFormat="1" applyFont="1" applyFill="1" applyBorder="1" applyAlignment="1">
      <alignment horizontal="left" vertical="center"/>
    </xf>
    <xf numFmtId="49" fontId="6" fillId="0" borderId="1" xfId="1" applyNumberFormat="1" applyFont="1" applyFill="1" applyBorder="1" applyAlignment="1" applyProtection="1">
      <alignment horizontal="center" vertical="center" wrapText="1"/>
      <protection locked="0"/>
    </xf>
    <xf numFmtId="168" fontId="6" fillId="0" borderId="1" xfId="1" quotePrefix="1" applyNumberFormat="1" applyFont="1" applyFill="1" applyBorder="1" applyAlignment="1">
      <alignment horizontal="center" vertical="center" wrapText="1"/>
    </xf>
    <xf numFmtId="3" fontId="6" fillId="2" borderId="1" xfId="57" quotePrefix="1" applyNumberFormat="1" applyFont="1" applyFill="1" applyBorder="1" applyAlignment="1">
      <alignment horizontal="left" vertical="center" wrapText="1"/>
    </xf>
    <xf numFmtId="1" fontId="6" fillId="0" borderId="1" xfId="1" applyNumberFormat="1" applyFont="1" applyFill="1" applyBorder="1" applyAlignment="1" applyProtection="1">
      <alignment horizontal="center" vertical="center" wrapText="1"/>
      <protection locked="0"/>
    </xf>
    <xf numFmtId="171" fontId="6" fillId="2" borderId="1" xfId="57" applyNumberFormat="1" applyFont="1" applyFill="1" applyBorder="1" applyAlignment="1">
      <alignment horizontal="right" vertical="center"/>
    </xf>
    <xf numFmtId="175" fontId="6" fillId="0" borderId="0" xfId="0" applyNumberFormat="1" applyFont="1" applyAlignment="1">
      <alignment horizontal="right" vertical="center"/>
    </xf>
    <xf numFmtId="0" fontId="6" fillId="0" borderId="1" xfId="0" applyFont="1" applyBorder="1" applyAlignment="1">
      <alignment horizontal="center" vertical="center" wrapText="1"/>
    </xf>
    <xf numFmtId="175" fontId="4" fillId="0" borderId="0" xfId="0" applyNumberFormat="1" applyFont="1"/>
    <xf numFmtId="0" fontId="6" fillId="0" borderId="1" xfId="9" applyFont="1" applyBorder="1" applyAlignment="1">
      <alignment horizontal="center" vertical="center" wrapText="1"/>
    </xf>
    <xf numFmtId="173" fontId="6" fillId="0" borderId="1" xfId="0" applyNumberFormat="1" applyFont="1" applyBorder="1" applyAlignment="1" applyProtection="1">
      <alignment horizontal="right" vertical="center" wrapText="1"/>
      <protection locked="0"/>
    </xf>
    <xf numFmtId="0" fontId="6" fillId="0" borderId="1" xfId="0" applyFont="1" applyBorder="1" applyAlignment="1">
      <alignment horizontal="right" vertical="center"/>
    </xf>
    <xf numFmtId="0" fontId="112" fillId="0" borderId="1" xfId="0" applyFont="1" applyBorder="1" applyAlignment="1">
      <alignment horizontal="center" vertical="center" wrapText="1"/>
    </xf>
    <xf numFmtId="175" fontId="3" fillId="2" borderId="1" xfId="0" applyNumberFormat="1" applyFont="1" applyFill="1" applyBorder="1" applyAlignment="1">
      <alignment horizontal="center" vertical="center"/>
    </xf>
    <xf numFmtId="170" fontId="6" fillId="0" borderId="1" xfId="1" applyNumberFormat="1" applyFont="1" applyFill="1" applyBorder="1" applyAlignment="1">
      <alignment horizontal="right" vertical="center" wrapText="1"/>
    </xf>
    <xf numFmtId="206" fontId="6" fillId="2" borderId="1" xfId="1" applyNumberFormat="1" applyFont="1" applyFill="1" applyBorder="1" applyAlignment="1">
      <alignment horizontal="right" vertical="center" wrapText="1"/>
    </xf>
    <xf numFmtId="171" fontId="6" fillId="2" borderId="0" xfId="0" applyNumberFormat="1" applyFont="1" applyFill="1" applyAlignment="1">
      <alignment horizontal="left" vertical="center"/>
    </xf>
    <xf numFmtId="1" fontId="7" fillId="2" borderId="1" xfId="5" applyNumberFormat="1" applyFont="1" applyFill="1" applyBorder="1" applyAlignment="1">
      <alignment horizontal="center" vertical="center" wrapText="1"/>
    </xf>
    <xf numFmtId="168" fontId="102" fillId="2" borderId="1" xfId="1" applyNumberFormat="1" applyFont="1" applyFill="1" applyBorder="1" applyAlignment="1">
      <alignment horizontal="right" vertical="center" wrapText="1"/>
    </xf>
    <xf numFmtId="171" fontId="6" fillId="2" borderId="1" xfId="0" applyNumberFormat="1" applyFont="1" applyFill="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2" borderId="0" xfId="0" applyFont="1" applyFill="1"/>
    <xf numFmtId="0" fontId="7" fillId="2" borderId="1" xfId="0" applyFont="1" applyFill="1" applyBorder="1" applyAlignment="1">
      <alignment horizontal="center" wrapText="1"/>
    </xf>
    <xf numFmtId="175" fontId="7" fillId="2" borderId="1" xfId="0" applyNumberFormat="1" applyFont="1" applyFill="1" applyBorder="1" applyAlignment="1">
      <alignment horizontal="center" wrapText="1"/>
    </xf>
    <xf numFmtId="0" fontId="102" fillId="2" borderId="1" xfId="0" applyFont="1" applyFill="1" applyBorder="1" applyAlignment="1">
      <alignment horizontal="center" wrapText="1"/>
    </xf>
    <xf numFmtId="0" fontId="104" fillId="2" borderId="1" xfId="0" applyFont="1" applyFill="1" applyBorder="1" applyAlignment="1">
      <alignment horizontal="center" wrapText="1"/>
    </xf>
    <xf numFmtId="173" fontId="4" fillId="2" borderId="1" xfId="0" applyNumberFormat="1" applyFont="1" applyFill="1" applyBorder="1" applyAlignment="1">
      <alignment vertical="center"/>
    </xf>
    <xf numFmtId="0" fontId="104" fillId="2" borderId="0" xfId="0" applyFont="1" applyFill="1" applyAlignment="1">
      <alignment horizontal="center" wrapText="1"/>
    </xf>
    <xf numFmtId="210" fontId="6" fillId="2" borderId="1" xfId="1" applyNumberFormat="1" applyFont="1" applyFill="1" applyBorder="1" applyAlignment="1">
      <alignment horizontal="right" vertical="center" wrapText="1"/>
    </xf>
    <xf numFmtId="4" fontId="7" fillId="2" borderId="0" xfId="0" applyNumberFormat="1" applyFont="1" applyFill="1" applyAlignment="1">
      <alignment horizontal="righ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2" borderId="1" xfId="246" applyFont="1" applyFill="1" applyBorder="1" applyAlignment="1" applyProtection="1">
      <alignment horizontal="left" vertical="center" wrapText="1"/>
      <protection locked="0"/>
    </xf>
    <xf numFmtId="171" fontId="3" fillId="2" borderId="1" xfId="0" applyNumberFormat="1" applyFont="1" applyFill="1" applyBorder="1" applyAlignment="1" applyProtection="1">
      <alignment horizontal="right" vertical="center" wrapText="1"/>
      <protection locked="0"/>
    </xf>
    <xf numFmtId="174" fontId="6" fillId="2" borderId="1" xfId="1" applyNumberFormat="1" applyFont="1" applyFill="1" applyBorder="1" applyAlignment="1">
      <alignment horizontal="right" vertical="center" wrapText="1"/>
    </xf>
    <xf numFmtId="174" fontId="6" fillId="2" borderId="1" xfId="1" applyNumberFormat="1" applyFont="1" applyFill="1" applyBorder="1" applyAlignment="1" applyProtection="1">
      <alignment horizontal="right" vertical="center" wrapText="1"/>
      <protection locked="0"/>
    </xf>
    <xf numFmtId="169" fontId="6" fillId="2" borderId="0" xfId="0" applyNumberFormat="1" applyFont="1" applyFill="1" applyAlignment="1">
      <alignment horizontal="right"/>
    </xf>
    <xf numFmtId="0" fontId="7" fillId="2" borderId="1" xfId="0" quotePrefix="1" applyFont="1" applyFill="1" applyBorder="1" applyAlignment="1">
      <alignment horizontal="center" vertical="center"/>
    </xf>
    <xf numFmtId="0" fontId="7" fillId="2" borderId="1" xfId="0" applyFont="1" applyFill="1" applyBorder="1" applyAlignment="1">
      <alignment horizontal="center" vertical="center"/>
    </xf>
    <xf numFmtId="0" fontId="4" fillId="2" borderId="1" xfId="0" quotePrefix="1" applyFont="1" applyFill="1" applyBorder="1" applyAlignment="1">
      <alignment horizontal="center" vertical="center"/>
    </xf>
    <xf numFmtId="173" fontId="7" fillId="2" borderId="1" xfId="0" applyNumberFormat="1" applyFont="1" applyFill="1" applyBorder="1" applyAlignment="1">
      <alignment vertical="center"/>
    </xf>
    <xf numFmtId="0" fontId="7" fillId="2" borderId="1" xfId="243" applyFont="1" applyFill="1" applyBorder="1" applyAlignment="1" applyProtection="1">
      <alignment horizontal="left" vertical="center" wrapText="1"/>
      <protection locked="0"/>
    </xf>
    <xf numFmtId="0" fontId="7" fillId="2" borderId="1" xfId="243" applyFont="1" applyFill="1" applyBorder="1" applyAlignment="1" applyProtection="1">
      <alignment horizontal="center" vertical="center" wrapText="1"/>
      <protection locked="0"/>
    </xf>
    <xf numFmtId="0" fontId="7" fillId="2" borderId="1" xfId="5" applyFont="1" applyFill="1" applyBorder="1" applyAlignment="1" applyProtection="1">
      <alignment horizontal="left" vertical="center" wrapText="1"/>
      <protection locked="0"/>
    </xf>
    <xf numFmtId="0" fontId="7" fillId="2" borderId="1" xfId="5" applyFont="1" applyFill="1" applyBorder="1" applyAlignment="1" applyProtection="1">
      <alignment horizontal="center" vertical="center" wrapText="1"/>
      <protection locked="0"/>
    </xf>
    <xf numFmtId="0" fontId="4" fillId="2" borderId="1" xfId="5"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4" fillId="2" borderId="1" xfId="61" applyFont="1" applyFill="1" applyBorder="1" applyAlignment="1" applyProtection="1">
      <alignment horizontal="center" vertical="center" wrapText="1"/>
      <protection hidden="1"/>
    </xf>
    <xf numFmtId="0" fontId="4" fillId="2" borderId="1" xfId="61" applyFont="1" applyFill="1" applyBorder="1" applyAlignment="1" applyProtection="1">
      <alignment horizontal="left" vertical="center" wrapText="1"/>
      <protection hidden="1"/>
    </xf>
    <xf numFmtId="0" fontId="102" fillId="2" borderId="1" xfId="61" applyFont="1" applyFill="1" applyBorder="1" applyAlignment="1" applyProtection="1">
      <alignment horizontal="center" vertical="center" wrapText="1"/>
      <protection hidden="1"/>
    </xf>
    <xf numFmtId="0" fontId="102" fillId="2" borderId="1" xfId="61" applyFont="1" applyFill="1" applyBorder="1" applyAlignment="1" applyProtection="1">
      <alignment horizontal="left" vertical="center" wrapText="1"/>
      <protection hidden="1"/>
    </xf>
    <xf numFmtId="0" fontId="7" fillId="2" borderId="1" xfId="61" applyFont="1" applyFill="1" applyBorder="1" applyAlignment="1" applyProtection="1">
      <alignment horizontal="center" vertical="center" wrapText="1"/>
      <protection hidden="1"/>
    </xf>
    <xf numFmtId="0" fontId="7" fillId="2" borderId="1" xfId="244" applyFont="1" applyFill="1" applyBorder="1" applyAlignment="1" applyProtection="1">
      <alignment horizontal="left" vertical="center" wrapText="1"/>
      <protection locked="0"/>
    </xf>
    <xf numFmtId="0" fontId="7" fillId="2" borderId="1" xfId="244" applyFont="1" applyFill="1" applyBorder="1" applyAlignment="1">
      <alignment horizontal="left" vertical="center" wrapText="1"/>
    </xf>
    <xf numFmtId="0" fontId="7" fillId="2" borderId="1" xfId="245" applyFont="1" applyFill="1" applyBorder="1" applyAlignment="1">
      <alignment horizontal="left" vertical="center" wrapText="1"/>
    </xf>
    <xf numFmtId="0" fontId="7" fillId="2" borderId="1" xfId="244" applyFont="1" applyFill="1" applyBorder="1" applyAlignment="1">
      <alignment vertical="center" wrapText="1"/>
    </xf>
    <xf numFmtId="0" fontId="4" fillId="2" borderId="1" xfId="61" applyFont="1" applyFill="1" applyBorder="1" applyAlignment="1" applyProtection="1">
      <alignment vertical="center" wrapText="1"/>
      <protection hidden="1"/>
    </xf>
    <xf numFmtId="0" fontId="102" fillId="2" borderId="1" xfId="246" applyFont="1" applyFill="1" applyBorder="1" applyAlignment="1" applyProtection="1">
      <alignment horizontal="center" vertical="center" wrapText="1"/>
      <protection hidden="1"/>
    </xf>
    <xf numFmtId="0" fontId="102" fillId="2" borderId="1" xfId="246" applyFont="1" applyFill="1" applyBorder="1" applyAlignment="1" applyProtection="1">
      <alignment horizontal="left" vertical="center" wrapText="1"/>
      <protection hidden="1"/>
    </xf>
    <xf numFmtId="0" fontId="7" fillId="2" borderId="1" xfId="246" quotePrefix="1" applyFont="1" applyFill="1" applyBorder="1" applyAlignment="1" applyProtection="1">
      <alignment horizontal="center" vertical="center" wrapText="1"/>
      <protection hidden="1"/>
    </xf>
    <xf numFmtId="0" fontId="7" fillId="2" borderId="1" xfId="246" quotePrefix="1" applyFont="1" applyFill="1" applyBorder="1" applyAlignment="1" applyProtection="1">
      <alignment horizontal="left" vertical="center" wrapText="1"/>
      <protection hidden="1"/>
    </xf>
    <xf numFmtId="0" fontId="7" fillId="2" borderId="1" xfId="246" applyFont="1" applyFill="1" applyBorder="1" applyAlignment="1" applyProtection="1">
      <alignment horizontal="center" vertical="center" wrapText="1"/>
      <protection hidden="1"/>
    </xf>
    <xf numFmtId="0" fontId="7" fillId="2" borderId="1" xfId="246" applyFont="1" applyFill="1" applyBorder="1" applyAlignment="1" applyProtection="1">
      <alignment horizontal="left" vertical="center" wrapText="1"/>
      <protection hidden="1"/>
    </xf>
    <xf numFmtId="0" fontId="4" fillId="2" borderId="1" xfId="0" applyFont="1" applyFill="1" applyBorder="1" applyAlignment="1">
      <alignment wrapText="1"/>
    </xf>
    <xf numFmtId="0" fontId="7" fillId="2" borderId="1" xfId="0" applyFont="1" applyFill="1" applyBorder="1" applyAlignment="1">
      <alignment vertical="center" wrapText="1"/>
    </xf>
    <xf numFmtId="0" fontId="102" fillId="2" borderId="1" xfId="0" applyFont="1" applyFill="1" applyBorder="1" applyAlignment="1">
      <alignment horizontal="center" vertical="center"/>
    </xf>
    <xf numFmtId="0" fontId="102" fillId="2" borderId="1" xfId="0" applyFont="1" applyFill="1" applyBorder="1" applyAlignment="1">
      <alignment wrapText="1"/>
    </xf>
    <xf numFmtId="0" fontId="7" fillId="2" borderId="1" xfId="0" applyFont="1" applyFill="1" applyBorder="1" applyAlignment="1">
      <alignment wrapText="1"/>
    </xf>
    <xf numFmtId="0" fontId="102" fillId="2" borderId="1" xfId="0"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wrapText="1"/>
    </xf>
    <xf numFmtId="2" fontId="7" fillId="2" borderId="0" xfId="0" applyNumberFormat="1" applyFont="1" applyFill="1" applyAlignment="1">
      <alignment horizontal="right"/>
    </xf>
    <xf numFmtId="0" fontId="7" fillId="0" borderId="0" xfId="0" applyFont="1" applyAlignment="1">
      <alignment horizontal="right"/>
    </xf>
    <xf numFmtId="0" fontId="6" fillId="0" borderId="3" xfId="0" applyFont="1" applyBorder="1" applyAlignment="1">
      <alignment horizontal="center" vertical="center"/>
    </xf>
    <xf numFmtId="0" fontId="99" fillId="2" borderId="0" xfId="0" applyFont="1" applyFill="1" applyAlignment="1">
      <alignment horizontal="center" vertical="center"/>
    </xf>
    <xf numFmtId="207" fontId="4" fillId="2" borderId="0" xfId="0" applyNumberFormat="1" applyFont="1" applyFill="1" applyAlignment="1">
      <alignment horizontal="center" vertical="center"/>
    </xf>
    <xf numFmtId="0" fontId="100" fillId="0" borderId="1" xfId="0" applyFont="1" applyBorder="1" applyAlignment="1">
      <alignment horizontal="right" vertical="center"/>
    </xf>
    <xf numFmtId="0" fontId="114" fillId="0" borderId="0" xfId="0" applyFont="1" applyAlignment="1">
      <alignment horizontal="right" vertical="center"/>
    </xf>
    <xf numFmtId="173" fontId="6" fillId="2" borderId="2" xfId="1" applyNumberFormat="1" applyFont="1" applyFill="1" applyBorder="1" applyAlignment="1">
      <alignment horizontal="right" vertical="center" wrapText="1"/>
    </xf>
    <xf numFmtId="174" fontId="6" fillId="2" borderId="2" xfId="1" applyNumberFormat="1" applyFont="1" applyFill="1" applyBorder="1" applyAlignment="1">
      <alignment horizontal="right" vertical="center" wrapText="1"/>
    </xf>
    <xf numFmtId="0" fontId="7" fillId="0" borderId="0" xfId="0" applyFont="1" applyAlignment="1">
      <alignment horizontal="center" wrapText="1"/>
    </xf>
    <xf numFmtId="175" fontId="7" fillId="2" borderId="0" xfId="0" applyNumberFormat="1" applyFont="1" applyFill="1"/>
    <xf numFmtId="175" fontId="3" fillId="2" borderId="1" xfId="0" applyNumberFormat="1" applyFont="1" applyFill="1" applyBorder="1" applyAlignment="1" applyProtection="1">
      <alignment horizontal="right" vertical="center" wrapText="1"/>
      <protection locked="0"/>
    </xf>
    <xf numFmtId="175" fontId="3" fillId="2" borderId="1" xfId="1" applyNumberFormat="1" applyFont="1" applyFill="1" applyBorder="1" applyAlignment="1">
      <alignment horizontal="right" vertical="center" wrapText="1"/>
    </xf>
    <xf numFmtId="175" fontId="6" fillId="0" borderId="1" xfId="1" applyNumberFormat="1" applyFont="1" applyFill="1" applyBorder="1" applyAlignment="1">
      <alignment horizontal="right" vertical="center" wrapText="1"/>
    </xf>
    <xf numFmtId="175" fontId="100" fillId="2" borderId="1" xfId="1" applyNumberFormat="1" applyFont="1" applyFill="1" applyBorder="1" applyAlignment="1">
      <alignment horizontal="right" vertical="center" wrapText="1"/>
    </xf>
    <xf numFmtId="175" fontId="100" fillId="0" borderId="1" xfId="1" applyNumberFormat="1" applyFont="1" applyFill="1" applyBorder="1" applyAlignment="1">
      <alignment horizontal="right" vertical="center" wrapText="1"/>
    </xf>
    <xf numFmtId="175" fontId="6" fillId="2" borderId="1" xfId="69" applyNumberFormat="1" applyFont="1" applyFill="1" applyBorder="1" applyAlignment="1">
      <alignment horizontal="right" vertical="center" wrapText="1"/>
    </xf>
    <xf numFmtId="175" fontId="7" fillId="2" borderId="1" xfId="1" applyNumberFormat="1" applyFont="1" applyFill="1" applyBorder="1" applyAlignment="1">
      <alignment horizontal="right" vertical="center" wrapText="1"/>
    </xf>
    <xf numFmtId="175" fontId="6" fillId="2" borderId="1" xfId="1" applyNumberFormat="1" applyFont="1" applyFill="1" applyBorder="1" applyAlignment="1">
      <alignment horizontal="right" vertical="center" wrapText="1"/>
    </xf>
    <xf numFmtId="175" fontId="6" fillId="2" borderId="1" xfId="1" applyNumberFormat="1" applyFont="1" applyFill="1" applyBorder="1" applyAlignment="1" applyProtection="1">
      <alignment horizontal="right" vertical="center" wrapText="1"/>
      <protection locked="0"/>
    </xf>
    <xf numFmtId="175" fontId="3" fillId="2" borderId="1" xfId="1" applyNumberFormat="1" applyFont="1" applyFill="1" applyBorder="1" applyAlignment="1" applyProtection="1">
      <alignment horizontal="right" vertical="center" wrapText="1"/>
      <protection locked="0"/>
    </xf>
    <xf numFmtId="175" fontId="6" fillId="2" borderId="1" xfId="239" applyNumberFormat="1" applyFont="1" applyFill="1" applyBorder="1" applyAlignment="1">
      <alignment horizontal="right" vertical="center"/>
    </xf>
    <xf numFmtId="175" fontId="6" fillId="2" borderId="1" xfId="5" applyNumberFormat="1" applyFill="1" applyBorder="1" applyAlignment="1">
      <alignment horizontal="right" vertical="center" wrapText="1"/>
    </xf>
    <xf numFmtId="175" fontId="6" fillId="2" borderId="1" xfId="6" applyNumberFormat="1" applyFont="1" applyFill="1" applyBorder="1" applyAlignment="1">
      <alignment vertical="center" wrapText="1"/>
    </xf>
    <xf numFmtId="175" fontId="6" fillId="2" borderId="0" xfId="0" applyNumberFormat="1" applyFont="1" applyFill="1" applyAlignment="1">
      <alignment horizontal="right"/>
    </xf>
    <xf numFmtId="170" fontId="6" fillId="2" borderId="1" xfId="1" quotePrefix="1" applyNumberFormat="1" applyFont="1" applyFill="1" applyBorder="1" applyAlignment="1">
      <alignment horizontal="right" vertical="center" wrapText="1"/>
    </xf>
    <xf numFmtId="171" fontId="6" fillId="2" borderId="1" xfId="6" applyNumberFormat="1" applyFont="1" applyFill="1" applyBorder="1" applyAlignment="1">
      <alignment horizontal="right" vertical="center" wrapText="1"/>
    </xf>
    <xf numFmtId="171" fontId="6" fillId="2" borderId="1" xfId="56" applyNumberFormat="1" applyFont="1" applyFill="1" applyBorder="1" applyAlignment="1">
      <alignment horizontal="right" vertical="center" wrapText="1"/>
    </xf>
    <xf numFmtId="0" fontId="7" fillId="2" borderId="0" xfId="0" applyFont="1" applyFill="1" applyAlignment="1">
      <alignment horizontal="right"/>
    </xf>
    <xf numFmtId="171" fontId="4" fillId="2" borderId="1" xfId="0" applyNumberFormat="1" applyFont="1" applyFill="1" applyBorder="1" applyAlignment="1">
      <alignment horizontal="right" vertical="center"/>
    </xf>
    <xf numFmtId="171" fontId="7" fillId="2" borderId="1" xfId="0" applyNumberFormat="1" applyFont="1" applyFill="1" applyBorder="1" applyAlignment="1">
      <alignment horizontal="right" vertical="center"/>
    </xf>
    <xf numFmtId="171" fontId="7" fillId="2" borderId="0" xfId="0" applyNumberFormat="1" applyFont="1" applyFill="1" applyAlignment="1">
      <alignment horizontal="right" vertical="center"/>
    </xf>
    <xf numFmtId="173" fontId="4" fillId="2" borderId="1" xfId="1" applyNumberFormat="1" applyFont="1" applyFill="1" applyBorder="1" applyAlignment="1">
      <alignment vertical="center"/>
    </xf>
    <xf numFmtId="0" fontId="7" fillId="2" borderId="1" xfId="0" applyFont="1" applyFill="1" applyBorder="1" applyAlignment="1">
      <alignment horizontal="left" vertical="center" wrapText="1"/>
    </xf>
    <xf numFmtId="173" fontId="7" fillId="2" borderId="1" xfId="1" applyNumberFormat="1" applyFont="1" applyFill="1" applyBorder="1" applyAlignment="1">
      <alignment vertical="center"/>
    </xf>
    <xf numFmtId="173" fontId="102" fillId="2" borderId="1" xfId="0" applyNumberFormat="1" applyFont="1" applyFill="1" applyBorder="1" applyAlignment="1">
      <alignment vertical="center"/>
    </xf>
    <xf numFmtId="0" fontId="4" fillId="2" borderId="1" xfId="0" applyFont="1" applyFill="1" applyBorder="1"/>
    <xf numFmtId="0" fontId="7" fillId="2" borderId="1" xfId="0" applyFont="1" applyFill="1" applyBorder="1" applyAlignment="1">
      <alignment horizontal="center"/>
    </xf>
    <xf numFmtId="2" fontId="7" fillId="0" borderId="0" xfId="0" applyNumberFormat="1" applyFont="1" applyAlignment="1">
      <alignment horizontal="center" vertical="center"/>
    </xf>
    <xf numFmtId="171" fontId="102" fillId="2" borderId="1" xfId="0" applyNumberFormat="1" applyFont="1" applyFill="1" applyBorder="1" applyAlignment="1">
      <alignment horizontal="right" vertical="center"/>
    </xf>
    <xf numFmtId="0" fontId="102" fillId="2" borderId="0" xfId="0" applyFont="1" applyFill="1"/>
    <xf numFmtId="171" fontId="4" fillId="2" borderId="1" xfId="1" applyNumberFormat="1"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center"/>
    </xf>
    <xf numFmtId="0" fontId="115"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7" fillId="2" borderId="1" xfId="5" applyNumberFormat="1" applyFont="1" applyFill="1" applyBorder="1" applyAlignment="1">
      <alignment horizontal="left" vertical="center" wrapText="1"/>
    </xf>
    <xf numFmtId="0" fontId="7" fillId="27" borderId="1" xfId="8" applyFont="1" applyFill="1" applyBorder="1" applyAlignment="1">
      <alignment horizontal="center" vertical="center" wrapText="1"/>
    </xf>
    <xf numFmtId="0" fontId="116" fillId="2" borderId="0" xfId="0" applyFont="1" applyFill="1" applyAlignment="1">
      <alignment vertical="center" wrapText="1"/>
    </xf>
    <xf numFmtId="0" fontId="117" fillId="2" borderId="0" xfId="0" applyFont="1" applyFill="1" applyAlignment="1">
      <alignment vertical="center" wrapText="1"/>
    </xf>
    <xf numFmtId="3" fontId="117" fillId="2" borderId="0" xfId="0" applyNumberFormat="1" applyFont="1" applyFill="1" applyAlignment="1">
      <alignment vertical="center" wrapText="1"/>
    </xf>
    <xf numFmtId="0" fontId="118" fillId="2" borderId="0" xfId="0" applyFont="1" applyFill="1" applyAlignment="1">
      <alignment horizontal="center" vertical="center" wrapText="1"/>
    </xf>
    <xf numFmtId="0" fontId="117" fillId="2" borderId="0" xfId="0" applyFont="1" applyFill="1" applyAlignment="1">
      <alignment horizontal="center" vertical="center" wrapText="1"/>
    </xf>
    <xf numFmtId="3" fontId="118" fillId="2" borderId="11" xfId="0" applyNumberFormat="1" applyFont="1" applyFill="1" applyBorder="1" applyAlignment="1">
      <alignment vertical="center" wrapText="1"/>
    </xf>
    <xf numFmtId="0" fontId="118" fillId="2" borderId="1" xfId="0" applyFont="1" applyFill="1" applyBorder="1" applyAlignment="1">
      <alignment horizontal="center" vertical="center" wrapText="1"/>
    </xf>
    <xf numFmtId="3" fontId="118" fillId="2" borderId="1" xfId="0" applyNumberFormat="1" applyFont="1" applyFill="1" applyBorder="1" applyAlignment="1">
      <alignment horizontal="center" vertical="center" wrapText="1"/>
    </xf>
    <xf numFmtId="0" fontId="117" fillId="2" borderId="1" xfId="0" quotePrefix="1" applyFont="1" applyFill="1" applyBorder="1" applyAlignment="1">
      <alignment horizontal="center" vertical="center" wrapText="1"/>
    </xf>
    <xf numFmtId="0" fontId="117" fillId="2" borderId="1" xfId="0" applyFont="1" applyFill="1" applyBorder="1" applyAlignment="1">
      <alignment horizontal="left" vertical="center" wrapText="1"/>
    </xf>
    <xf numFmtId="0" fontId="117" fillId="2" borderId="1" xfId="0" applyFont="1" applyFill="1" applyBorder="1" applyAlignment="1">
      <alignment horizontal="center" vertical="center" wrapText="1"/>
    </xf>
    <xf numFmtId="4" fontId="117" fillId="2" borderId="1" xfId="0" applyNumberFormat="1" applyFont="1" applyFill="1" applyBorder="1" applyAlignment="1">
      <alignment horizontal="right" vertical="center" wrapText="1"/>
    </xf>
    <xf numFmtId="0" fontId="117" fillId="2" borderId="1" xfId="0" applyFont="1" applyFill="1" applyBorder="1" applyAlignment="1">
      <alignment vertical="center" wrapText="1"/>
    </xf>
    <xf numFmtId="0" fontId="7" fillId="3" borderId="1" xfId="0" applyFont="1" applyFill="1" applyBorder="1" applyAlignment="1">
      <alignment horizontal="center" wrapText="1"/>
    </xf>
    <xf numFmtId="0" fontId="102" fillId="2" borderId="1" xfId="0" applyFont="1" applyFill="1" applyBorder="1"/>
    <xf numFmtId="171" fontId="117" fillId="2" borderId="0" xfId="0" applyNumberFormat="1" applyFont="1" applyFill="1" applyAlignment="1">
      <alignment vertical="center" wrapText="1"/>
    </xf>
    <xf numFmtId="171" fontId="118" fillId="2" borderId="1" xfId="0" applyNumberFormat="1" applyFont="1" applyFill="1" applyBorder="1" applyAlignment="1">
      <alignment horizontal="right" vertical="center" wrapText="1"/>
    </xf>
    <xf numFmtId="171" fontId="117" fillId="2" borderId="1" xfId="0" applyNumberFormat="1" applyFont="1" applyFill="1" applyBorder="1" applyAlignment="1">
      <alignment horizontal="right" vertical="center" wrapText="1"/>
    </xf>
    <xf numFmtId="171" fontId="117" fillId="2" borderId="1" xfId="0" applyNumberFormat="1" applyFont="1" applyFill="1" applyBorder="1" applyAlignment="1">
      <alignment vertical="center" wrapText="1"/>
    </xf>
    <xf numFmtId="1" fontId="4" fillId="2" borderId="1" xfId="155" applyNumberFormat="1" applyFont="1" applyFill="1" applyBorder="1" applyAlignment="1">
      <alignment horizontal="center" vertical="center" wrapText="1"/>
    </xf>
    <xf numFmtId="1" fontId="4" fillId="2" borderId="1" xfId="155" quotePrefix="1" applyNumberFormat="1" applyFont="1" applyFill="1" applyBorder="1" applyAlignment="1">
      <alignment horizontal="center" vertical="center" wrapText="1"/>
    </xf>
    <xf numFmtId="0" fontId="11" fillId="2" borderId="1" xfId="0" applyFont="1" applyFill="1" applyBorder="1" applyAlignment="1">
      <alignment vertical="center"/>
    </xf>
    <xf numFmtId="0" fontId="7" fillId="0" borderId="1" xfId="61" applyFont="1" applyBorder="1" applyAlignment="1" applyProtection="1">
      <alignment horizontal="center" vertical="center" wrapText="1"/>
      <protection hidden="1"/>
    </xf>
    <xf numFmtId="0" fontId="7" fillId="0" borderId="1" xfId="244" applyFont="1" applyBorder="1" applyAlignment="1" applyProtection="1">
      <alignment horizontal="left" vertical="center" wrapText="1"/>
      <protection locked="0"/>
    </xf>
    <xf numFmtId="173" fontId="7" fillId="0" borderId="1" xfId="0" applyNumberFormat="1" applyFont="1" applyBorder="1" applyAlignment="1">
      <alignment vertical="center"/>
    </xf>
    <xf numFmtId="0" fontId="10" fillId="2" borderId="1" xfId="0" applyFont="1" applyFill="1" applyBorder="1" applyAlignment="1">
      <alignment horizontal="center" vertical="center" wrapText="1"/>
    </xf>
    <xf numFmtId="0" fontId="7" fillId="2" borderId="0" xfId="0" applyFont="1" applyFill="1" applyAlignment="1">
      <alignment horizontal="center"/>
    </xf>
    <xf numFmtId="0" fontId="102" fillId="2" borderId="1" xfId="0" applyFont="1" applyFill="1" applyBorder="1" applyAlignment="1">
      <alignment horizontal="center"/>
    </xf>
    <xf numFmtId="0" fontId="4" fillId="2" borderId="0" xfId="0" applyFont="1" applyFill="1" applyAlignment="1">
      <alignment horizontal="center"/>
    </xf>
    <xf numFmtId="9" fontId="10" fillId="2" borderId="1" xfId="0" applyNumberFormat="1" applyFont="1" applyFill="1" applyBorder="1" applyAlignment="1">
      <alignment horizontal="center" vertical="center" wrapText="1"/>
    </xf>
    <xf numFmtId="1" fontId="102" fillId="2" borderId="1" xfId="155" quotePrefix="1" applyNumberFormat="1" applyFont="1" applyFill="1" applyBorder="1" applyAlignment="1">
      <alignment horizontal="center" vertical="center" wrapText="1"/>
    </xf>
    <xf numFmtId="0" fontId="102" fillId="2" borderId="1" xfId="0" applyFont="1" applyFill="1" applyBorder="1" applyAlignment="1">
      <alignment horizontal="center" vertical="center" wrapText="1"/>
    </xf>
    <xf numFmtId="0" fontId="104" fillId="2" borderId="0" xfId="0" applyFont="1" applyFill="1" applyAlignment="1">
      <alignment horizontal="center" vertical="center" wrapText="1"/>
    </xf>
    <xf numFmtId="0" fontId="7" fillId="2" borderId="0" xfId="0" applyFont="1" applyFill="1" applyAlignment="1">
      <alignment horizontal="left" vertical="center"/>
    </xf>
    <xf numFmtId="0" fontId="11" fillId="2" borderId="0" xfId="0" applyFont="1" applyFill="1" applyAlignment="1">
      <alignment horizontal="center" vertical="center"/>
    </xf>
    <xf numFmtId="0" fontId="7" fillId="2" borderId="0" xfId="0" applyFont="1" applyFill="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11" fillId="2" borderId="0" xfId="0" applyFont="1" applyFill="1" applyAlignment="1">
      <alignment horizontal="right" wrapText="1"/>
    </xf>
    <xf numFmtId="2" fontId="4" fillId="2" borderId="2"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171" fontId="4" fillId="2" borderId="1" xfId="1" applyNumberFormat="1" applyFont="1" applyFill="1" applyBorder="1" applyAlignment="1">
      <alignment horizontal="right" vertical="center" wrapText="1"/>
    </xf>
    <xf numFmtId="4" fontId="4" fillId="2" borderId="1" xfId="1" applyNumberFormat="1" applyFont="1" applyFill="1" applyBorder="1" applyAlignment="1">
      <alignment horizontal="right" vertical="center" wrapText="1"/>
    </xf>
    <xf numFmtId="168" fontId="4" fillId="2" borderId="1" xfId="1" applyNumberFormat="1" applyFont="1" applyFill="1" applyBorder="1" applyAlignment="1">
      <alignment horizontal="center" vertical="center" wrapText="1"/>
    </xf>
    <xf numFmtId="209" fontId="7"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171" fontId="4" fillId="2" borderId="1" xfId="247" applyNumberFormat="1" applyFont="1" applyFill="1" applyBorder="1" applyAlignment="1">
      <alignment horizontal="right" vertical="center" wrapText="1"/>
    </xf>
    <xf numFmtId="209" fontId="4" fillId="2" borderId="1" xfId="0" applyNumberFormat="1" applyFont="1" applyFill="1" applyBorder="1" applyAlignment="1">
      <alignment horizontal="right" vertical="center"/>
    </xf>
    <xf numFmtId="168" fontId="102" fillId="2" borderId="1" xfId="1" applyNumberFormat="1" applyFont="1" applyFill="1" applyBorder="1" applyAlignment="1">
      <alignment horizontal="left" vertical="center"/>
    </xf>
    <xf numFmtId="0" fontId="7" fillId="2" borderId="1" xfId="11" applyFont="1" applyFill="1" applyBorder="1" applyAlignment="1">
      <alignment horizontal="center" vertical="center" wrapText="1"/>
    </xf>
    <xf numFmtId="171" fontId="102" fillId="2" borderId="1" xfId="247" applyNumberFormat="1" applyFont="1" applyFill="1" applyBorder="1" applyAlignment="1">
      <alignment horizontal="right" vertical="center" wrapText="1"/>
    </xf>
    <xf numFmtId="171" fontId="7" fillId="2" borderId="1" xfId="155" applyNumberFormat="1" applyFont="1" applyFill="1" applyBorder="1" applyAlignment="1">
      <alignment horizontal="right" vertical="center" wrapText="1"/>
    </xf>
    <xf numFmtId="171" fontId="7" fillId="2" borderId="1" xfId="247" applyNumberFormat="1" applyFont="1" applyFill="1" applyBorder="1" applyAlignment="1" applyProtection="1">
      <alignment horizontal="right" vertical="center" wrapText="1"/>
      <protection hidden="1"/>
    </xf>
    <xf numFmtId="171" fontId="7" fillId="2" borderId="1" xfId="244"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9" fontId="40" fillId="2" borderId="1" xfId="0" applyNumberFormat="1" applyFont="1" applyFill="1" applyBorder="1" applyAlignment="1">
      <alignment horizontal="center" vertical="center" wrapText="1"/>
    </xf>
    <xf numFmtId="168" fontId="102" fillId="2" borderId="1" xfId="1" applyNumberFormat="1" applyFont="1" applyFill="1" applyBorder="1" applyAlignment="1" applyProtection="1">
      <alignment horizontal="left" vertical="center" wrapText="1"/>
      <protection locked="0"/>
    </xf>
    <xf numFmtId="171" fontId="102" fillId="2" borderId="1" xfId="155" applyNumberFormat="1" applyFont="1" applyFill="1" applyBorder="1" applyAlignment="1">
      <alignment horizontal="right" vertical="center" wrapText="1"/>
    </xf>
    <xf numFmtId="171" fontId="4" fillId="2" borderId="1" xfId="155" applyNumberFormat="1" applyFont="1" applyFill="1" applyBorder="1" applyAlignment="1">
      <alignment horizontal="right" vertical="center" wrapText="1"/>
    </xf>
    <xf numFmtId="171" fontId="102" fillId="2" borderId="1" xfId="1" applyNumberFormat="1" applyFont="1" applyFill="1" applyBorder="1" applyAlignment="1">
      <alignment horizontal="right" vertical="center"/>
    </xf>
    <xf numFmtId="173" fontId="102" fillId="2" borderId="1" xfId="1" applyNumberFormat="1" applyFont="1" applyFill="1" applyBorder="1" applyAlignment="1">
      <alignment horizontal="right" vertical="center"/>
    </xf>
    <xf numFmtId="0" fontId="7" fillId="2" borderId="1" xfId="8" applyFont="1" applyFill="1" applyBorder="1" applyAlignment="1" applyProtection="1">
      <alignment horizontal="center" vertical="center" wrapText="1"/>
      <protection locked="0"/>
    </xf>
    <xf numFmtId="171" fontId="7" fillId="2" borderId="1" xfId="1" applyNumberFormat="1" applyFont="1" applyFill="1" applyBorder="1" applyAlignment="1">
      <alignment horizontal="right" vertical="center"/>
    </xf>
    <xf numFmtId="9" fontId="7" fillId="2" borderId="1" xfId="0" applyNumberFormat="1" applyFont="1" applyFill="1" applyBorder="1" applyAlignment="1">
      <alignment horizontal="center" vertical="center" wrapText="1"/>
    </xf>
    <xf numFmtId="0" fontId="7" fillId="2" borderId="1" xfId="244" applyFont="1" applyFill="1" applyBorder="1" applyAlignment="1">
      <alignment horizontal="center" vertical="center"/>
    </xf>
    <xf numFmtId="171" fontId="7" fillId="2" borderId="1" xfId="0" applyNumberFormat="1" applyFont="1" applyFill="1" applyBorder="1" applyAlignment="1">
      <alignment horizontal="center" vertical="center" wrapText="1"/>
    </xf>
    <xf numFmtId="0" fontId="102" fillId="2" borderId="1" xfId="8" applyFont="1" applyFill="1" applyBorder="1" applyAlignment="1" applyProtection="1">
      <alignment horizontal="center" vertical="center" wrapText="1"/>
      <protection locked="0"/>
    </xf>
    <xf numFmtId="0" fontId="102" fillId="2" borderId="1" xfId="11" applyFont="1" applyFill="1" applyBorder="1" applyAlignment="1">
      <alignment horizontal="center" vertical="center" wrapText="1"/>
    </xf>
    <xf numFmtId="171" fontId="7" fillId="2" borderId="1" xfId="1" applyNumberFormat="1" applyFont="1" applyFill="1" applyBorder="1" applyAlignment="1">
      <alignment horizontal="right" vertical="center" wrapText="1"/>
    </xf>
    <xf numFmtId="49" fontId="7" fillId="2" borderId="1" xfId="11" applyNumberFormat="1" applyFont="1" applyFill="1" applyBorder="1" applyAlignment="1">
      <alignment horizontal="center" vertical="center"/>
    </xf>
    <xf numFmtId="0" fontId="102" fillId="2" borderId="1" xfId="244" applyFont="1" applyFill="1" applyBorder="1" applyAlignment="1">
      <alignment horizontal="left" vertical="center" wrapText="1"/>
    </xf>
    <xf numFmtId="0" fontId="4" fillId="2" borderId="1" xfId="11" applyFont="1" applyFill="1" applyBorder="1" applyAlignment="1">
      <alignment horizontal="center" vertical="center" wrapText="1"/>
    </xf>
    <xf numFmtId="209" fontId="102" fillId="2" borderId="1" xfId="0" applyNumberFormat="1" applyFont="1" applyFill="1" applyBorder="1" applyAlignment="1">
      <alignment horizontal="right" vertical="center"/>
    </xf>
    <xf numFmtId="0" fontId="7" fillId="2" borderId="29" xfId="11" applyFont="1" applyFill="1" applyBorder="1" applyAlignment="1">
      <alignment horizontal="center" vertical="center" wrapText="1"/>
    </xf>
    <xf numFmtId="0" fontId="7" fillId="2" borderId="1" xfId="246" applyFont="1" applyFill="1" applyBorder="1" applyAlignment="1" applyProtection="1">
      <alignment horizontal="left" vertical="center" wrapText="1"/>
      <protection locked="0"/>
    </xf>
    <xf numFmtId="1" fontId="7" fillId="2" borderId="1" xfId="155" applyNumberFormat="1" applyFont="1" applyFill="1" applyBorder="1" applyAlignment="1">
      <alignment horizontal="center" vertical="center" wrapText="1"/>
    </xf>
    <xf numFmtId="175" fontId="11" fillId="2" borderId="1" xfId="0" applyNumberFormat="1" applyFont="1" applyFill="1" applyBorder="1" applyAlignment="1">
      <alignment horizontal="right" wrapText="1"/>
    </xf>
    <xf numFmtId="173" fontId="4" fillId="2" borderId="1" xfId="1" applyNumberFormat="1" applyFont="1" applyFill="1" applyBorder="1" applyAlignment="1">
      <alignment vertical="center" wrapText="1"/>
    </xf>
    <xf numFmtId="1" fontId="4" fillId="2" borderId="1" xfId="5" applyNumberFormat="1" applyFont="1" applyFill="1" applyBorder="1" applyAlignment="1">
      <alignment horizontal="left" vertical="center" wrapText="1"/>
    </xf>
    <xf numFmtId="0" fontId="7" fillId="2" borderId="1" xfId="3" applyFont="1" applyFill="1" applyBorder="1" applyAlignment="1" applyProtection="1">
      <alignment horizontal="left" vertical="center" wrapText="1"/>
      <protection locked="0"/>
    </xf>
    <xf numFmtId="3" fontId="7" fillId="2" borderId="1" xfId="243" applyNumberFormat="1" applyFont="1" applyFill="1" applyBorder="1" applyAlignment="1" applyProtection="1">
      <alignment horizontal="center" vertical="center" wrapText="1"/>
      <protection hidden="1"/>
    </xf>
    <xf numFmtId="0" fontId="7" fillId="2" borderId="1" xfId="8" applyFont="1" applyFill="1" applyBorder="1" applyAlignment="1" applyProtection="1">
      <alignment horizontal="left" vertical="center" wrapText="1"/>
      <protection locked="0"/>
    </xf>
    <xf numFmtId="173" fontId="102" fillId="2" borderId="1" xfId="1" applyNumberFormat="1" applyFont="1" applyFill="1" applyBorder="1" applyAlignment="1">
      <alignment vertical="center"/>
    </xf>
    <xf numFmtId="171" fontId="40" fillId="2" borderId="1" xfId="0" applyNumberFormat="1" applyFont="1" applyFill="1" applyBorder="1" applyAlignment="1">
      <alignment horizontal="center" vertical="center" wrapText="1"/>
    </xf>
    <xf numFmtId="0" fontId="7" fillId="0" borderId="1" xfId="8" applyFont="1" applyBorder="1" applyAlignment="1" applyProtection="1">
      <alignment horizontal="center" vertical="center" wrapText="1"/>
      <protection locked="0"/>
    </xf>
    <xf numFmtId="0" fontId="7" fillId="0" borderId="1" xfId="11" applyFont="1" applyBorder="1" applyAlignment="1">
      <alignment horizontal="center" vertical="center" wrapText="1"/>
    </xf>
    <xf numFmtId="0" fontId="7" fillId="2" borderId="1" xfId="9" applyFont="1" applyFill="1" applyBorder="1" applyAlignment="1">
      <alignment horizontal="center" vertical="center" wrapText="1"/>
    </xf>
    <xf numFmtId="0" fontId="7" fillId="0" borderId="1" xfId="0" applyFont="1" applyBorder="1" applyAlignment="1">
      <alignment horizontal="justify" vertical="center" wrapText="1"/>
    </xf>
    <xf numFmtId="168" fontId="7" fillId="2" borderId="1" xfId="1" applyNumberFormat="1" applyFont="1" applyFill="1" applyBorder="1" applyAlignment="1" applyProtection="1">
      <alignment horizontal="left" vertical="center" wrapText="1"/>
      <protection locked="0"/>
    </xf>
    <xf numFmtId="0" fontId="7" fillId="2" borderId="1" xfId="242" applyFont="1" applyFill="1" applyBorder="1" applyAlignment="1">
      <alignment horizontal="center" vertical="center" wrapText="1"/>
    </xf>
    <xf numFmtId="0" fontId="40" fillId="2" borderId="1" xfId="0" applyFont="1" applyFill="1" applyBorder="1" applyAlignment="1">
      <alignment horizontal="center" vertical="center" wrapText="1"/>
    </xf>
    <xf numFmtId="0" fontId="11" fillId="2" borderId="11" xfId="0" applyFont="1" applyFill="1" applyBorder="1" applyAlignment="1">
      <alignment horizontal="right" vertical="center" wrapText="1"/>
    </xf>
    <xf numFmtId="171" fontId="117" fillId="2" borderId="0" xfId="0" applyNumberFormat="1" applyFont="1" applyFill="1" applyAlignment="1">
      <alignment horizontal="center" vertical="center" wrapText="1"/>
    </xf>
    <xf numFmtId="0" fontId="7" fillId="2" borderId="3" xfId="0" applyFont="1" applyFill="1" applyBorder="1" applyAlignment="1">
      <alignment horizontal="center" vertical="center" wrapText="1"/>
    </xf>
    <xf numFmtId="2" fontId="7" fillId="2" borderId="0" xfId="0" applyNumberFormat="1" applyFont="1" applyFill="1" applyAlignment="1">
      <alignment horizontal="center" vertical="center" wrapText="1"/>
    </xf>
    <xf numFmtId="2" fontId="40"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244" applyNumberFormat="1" applyFont="1" applyFill="1" applyBorder="1" applyAlignment="1">
      <alignment horizontal="center" vertical="center"/>
    </xf>
    <xf numFmtId="171" fontId="10" fillId="2" borderId="1" xfId="0" applyNumberFormat="1" applyFont="1" applyFill="1" applyBorder="1" applyAlignment="1">
      <alignment horizontal="center" vertical="center" wrapText="1"/>
    </xf>
    <xf numFmtId="4" fontId="118" fillId="2" borderId="1" xfId="0" applyNumberFormat="1" applyFont="1" applyFill="1" applyBorder="1" applyAlignment="1">
      <alignment horizontal="right" vertical="center" wrapText="1"/>
    </xf>
    <xf numFmtId="2" fontId="6" fillId="2" borderId="0" xfId="0" applyNumberFormat="1" applyFont="1" applyFill="1" applyAlignment="1">
      <alignment horizontal="center" vertical="center"/>
    </xf>
    <xf numFmtId="0" fontId="3" fillId="2" borderId="2" xfId="0" applyFont="1" applyFill="1" applyBorder="1" applyAlignment="1">
      <alignment wrapText="1"/>
    </xf>
    <xf numFmtId="0" fontId="3" fillId="2" borderId="0" xfId="0" applyFont="1" applyFill="1"/>
    <xf numFmtId="0" fontId="6" fillId="2" borderId="1" xfId="0" applyFont="1" applyFill="1" applyBorder="1" applyAlignment="1">
      <alignment horizontal="center" wrapText="1"/>
    </xf>
    <xf numFmtId="173" fontId="3" fillId="2" borderId="1" xfId="1" applyNumberFormat="1" applyFont="1" applyFill="1" applyBorder="1" applyAlignment="1">
      <alignment horizontal="center" vertical="center" wrapText="1"/>
    </xf>
    <xf numFmtId="174" fontId="8" fillId="2" borderId="1" xfId="1" applyNumberFormat="1" applyFont="1" applyFill="1" applyBorder="1" applyAlignment="1">
      <alignment horizontal="right" vertical="center" wrapText="1"/>
    </xf>
    <xf numFmtId="0" fontId="8" fillId="2" borderId="1" xfId="0" applyFont="1" applyFill="1" applyBorder="1" applyAlignment="1">
      <alignment horizontal="center" wrapText="1"/>
    </xf>
    <xf numFmtId="0" fontId="8" fillId="2" borderId="0" xfId="0" applyFont="1" applyFill="1"/>
    <xf numFmtId="1" fontId="8" fillId="2" borderId="1" xfId="5" applyNumberFormat="1" applyFont="1" applyFill="1" applyBorder="1" applyAlignment="1">
      <alignment horizontal="left" vertical="center" wrapText="1"/>
    </xf>
    <xf numFmtId="2" fontId="8" fillId="2" borderId="0" xfId="0" applyNumberFormat="1" applyFont="1" applyFill="1" applyAlignment="1">
      <alignment horizontal="center" vertical="center"/>
    </xf>
    <xf numFmtId="175" fontId="7" fillId="2" borderId="1" xfId="5" applyNumberFormat="1" applyFont="1" applyFill="1" applyBorder="1" applyAlignment="1">
      <alignment horizontal="right" vertical="center" wrapText="1"/>
    </xf>
    <xf numFmtId="173" fontId="3" fillId="0" borderId="1" xfId="0" applyNumberFormat="1" applyFont="1" applyBorder="1" applyAlignment="1" applyProtection="1">
      <alignment horizontal="right" vertical="center" wrapText="1"/>
      <protection locked="0"/>
    </xf>
    <xf numFmtId="174" fontId="6" fillId="0" borderId="1" xfId="0" applyNumberFormat="1" applyFont="1" applyBorder="1" applyAlignment="1" applyProtection="1">
      <alignment horizontal="right" vertical="center" wrapText="1"/>
      <protection locked="0"/>
    </xf>
    <xf numFmtId="0" fontId="6" fillId="0" borderId="1" xfId="240" applyFont="1" applyBorder="1" applyAlignment="1">
      <alignment horizontal="center" vertical="center" wrapText="1"/>
    </xf>
    <xf numFmtId="171" fontId="6" fillId="0" borderId="1" xfId="1" applyNumberFormat="1" applyFont="1" applyFill="1" applyBorder="1" applyAlignment="1">
      <alignment horizontal="right" vertical="center" wrapText="1"/>
    </xf>
    <xf numFmtId="9" fontId="10" fillId="0" borderId="1" xfId="0" applyNumberFormat="1" applyFont="1" applyBorder="1" applyAlignment="1">
      <alignment horizontal="center" vertical="center" wrapText="1"/>
    </xf>
    <xf numFmtId="175" fontId="3" fillId="0" borderId="1" xfId="0" applyNumberFormat="1" applyFont="1" applyBorder="1" applyAlignment="1">
      <alignment horizontal="center" vertical="center"/>
    </xf>
    <xf numFmtId="1" fontId="6" fillId="0" borderId="1" xfId="5" applyNumberFormat="1" applyBorder="1" applyAlignment="1">
      <alignment horizontal="left" vertical="center" wrapText="1"/>
    </xf>
    <xf numFmtId="1" fontId="6" fillId="0" borderId="1" xfId="5" applyNumberFormat="1" applyBorder="1" applyAlignment="1">
      <alignment horizontal="center" vertical="center" wrapText="1"/>
    </xf>
    <xf numFmtId="171" fontId="6" fillId="0" borderId="1" xfId="57" applyNumberFormat="1" applyFont="1" applyBorder="1" applyAlignment="1">
      <alignment horizontal="right" vertical="center"/>
    </xf>
    <xf numFmtId="175" fontId="6" fillId="0" borderId="1" xfId="69" applyNumberFormat="1" applyFont="1" applyFill="1" applyBorder="1" applyAlignment="1">
      <alignment horizontal="right" vertical="center" wrapText="1"/>
    </xf>
    <xf numFmtId="168" fontId="100" fillId="0" borderId="1" xfId="1" applyNumberFormat="1" applyFont="1" applyFill="1" applyBorder="1" applyAlignment="1">
      <alignment horizontal="right" vertical="center" wrapText="1"/>
    </xf>
    <xf numFmtId="2" fontId="7" fillId="2" borderId="0" xfId="0" applyNumberFormat="1" applyFont="1" applyFill="1" applyAlignment="1">
      <alignment horizontal="center" vertical="center"/>
    </xf>
    <xf numFmtId="168" fontId="6" fillId="2" borderId="1" xfId="1" applyNumberFormat="1" applyFont="1" applyFill="1" applyBorder="1" applyAlignment="1">
      <alignment vertical="center"/>
    </xf>
    <xf numFmtId="0" fontId="6" fillId="2" borderId="1" xfId="0" quotePrefix="1" applyFont="1" applyFill="1" applyBorder="1" applyAlignment="1">
      <alignment horizontal="center" vertical="center"/>
    </xf>
    <xf numFmtId="0" fontId="6" fillId="2" borderId="1" xfId="1" quotePrefix="1" applyNumberFormat="1" applyFont="1" applyFill="1" applyBorder="1" applyAlignment="1">
      <alignment horizontal="center" vertical="center"/>
    </xf>
    <xf numFmtId="175" fontId="100"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4" fontId="6" fillId="2" borderId="1" xfId="1" applyNumberFormat="1" applyFont="1" applyFill="1" applyBorder="1" applyAlignment="1">
      <alignment horizontal="right" vertical="center" wrapText="1"/>
    </xf>
    <xf numFmtId="4" fontId="102" fillId="2" borderId="1" xfId="1" applyNumberFormat="1" applyFont="1" applyFill="1" applyBorder="1" applyAlignment="1">
      <alignment horizontal="right" vertical="center" wrapText="1"/>
    </xf>
    <xf numFmtId="0" fontId="11" fillId="2" borderId="1" xfId="1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wrapText="1"/>
    </xf>
    <xf numFmtId="209" fontId="11" fillId="2" borderId="1" xfId="0" applyNumberFormat="1" applyFont="1" applyFill="1" applyBorder="1" applyAlignment="1">
      <alignment horizontal="right" vertical="center"/>
    </xf>
    <xf numFmtId="0" fontId="11" fillId="2" borderId="0" xfId="0" applyFont="1" applyFill="1"/>
    <xf numFmtId="174" fontId="4" fillId="2" borderId="1" xfId="1" applyNumberFormat="1" applyFont="1" applyFill="1" applyBorder="1" applyAlignment="1">
      <alignment vertical="center" wrapText="1"/>
    </xf>
    <xf numFmtId="174" fontId="7" fillId="2" borderId="1" xfId="1" applyNumberFormat="1" applyFont="1" applyFill="1" applyBorder="1" applyAlignment="1">
      <alignment vertical="center" wrapText="1"/>
    </xf>
    <xf numFmtId="174" fontId="102" fillId="2" borderId="1" xfId="1" applyNumberFormat="1" applyFont="1" applyFill="1" applyBorder="1" applyAlignment="1">
      <alignment vertical="center" wrapText="1"/>
    </xf>
    <xf numFmtId="171" fontId="4" fillId="2" borderId="0" xfId="0" applyNumberFormat="1" applyFont="1" applyFill="1" applyAlignment="1">
      <alignment horizontal="right" vertical="center"/>
    </xf>
    <xf numFmtId="4" fontId="7" fillId="2" borderId="1" xfId="1" applyNumberFormat="1" applyFont="1" applyFill="1" applyBorder="1" applyAlignment="1">
      <alignment horizontal="center" vertical="center" wrapText="1"/>
    </xf>
    <xf numFmtId="0" fontId="7" fillId="2" borderId="1" xfId="0" applyFont="1" applyFill="1" applyBorder="1" applyAlignment="1">
      <alignment horizontal="right"/>
    </xf>
    <xf numFmtId="2" fontId="7" fillId="2" borderId="1" xfId="0" applyNumberFormat="1" applyFont="1" applyFill="1" applyBorder="1" applyAlignment="1">
      <alignment horizontal="right"/>
    </xf>
    <xf numFmtId="0" fontId="104" fillId="0" borderId="1" xfId="0" applyFont="1" applyBorder="1" applyAlignment="1">
      <alignment horizontal="center" wrapText="1"/>
    </xf>
    <xf numFmtId="0" fontId="4" fillId="2" borderId="1" xfId="0" applyFont="1" applyFill="1" applyBorder="1" applyAlignment="1" applyProtection="1">
      <alignment horizontal="center" vertical="center" wrapText="1"/>
      <protection locked="0"/>
    </xf>
    <xf numFmtId="171" fontId="4" fillId="2" borderId="5" xfId="155" applyNumberFormat="1" applyFont="1" applyFill="1" applyBorder="1" applyAlignment="1">
      <alignment horizontal="center" vertical="center" wrapText="1"/>
    </xf>
    <xf numFmtId="171" fontId="4" fillId="2" borderId="1" xfId="0" applyNumberFormat="1" applyFont="1" applyFill="1" applyBorder="1" applyAlignment="1" applyProtection="1">
      <alignment horizontal="center" vertical="center" wrapText="1"/>
      <protection locked="0"/>
    </xf>
    <xf numFmtId="171" fontId="4" fillId="2" borderId="1" xfId="247" applyNumberFormat="1" applyFont="1" applyFill="1" applyBorder="1" applyAlignment="1">
      <alignment horizontal="center" vertical="center" wrapText="1"/>
    </xf>
    <xf numFmtId="0" fontId="6" fillId="2" borderId="29" xfId="11" applyFont="1" applyFill="1" applyBorder="1" applyAlignment="1">
      <alignment horizontal="center" vertical="center" wrapText="1"/>
    </xf>
    <xf numFmtId="49" fontId="6" fillId="2" borderId="21" xfId="11" applyNumberFormat="1" applyFont="1" applyFill="1" applyBorder="1" applyAlignment="1">
      <alignment horizontal="center" vertical="center"/>
    </xf>
    <xf numFmtId="1" fontId="6" fillId="2" borderId="1" xfId="155" applyNumberFormat="1" applyFont="1" applyFill="1" applyBorder="1" applyAlignment="1">
      <alignment horizontal="center" vertical="center" wrapText="1"/>
    </xf>
    <xf numFmtId="171" fontId="6" fillId="2" borderId="1" xfId="0" applyNumberFormat="1" applyFont="1" applyFill="1" applyBorder="1" applyAlignment="1">
      <alignment horizontal="right" vertical="center"/>
    </xf>
    <xf numFmtId="171" fontId="100" fillId="2" borderId="1" xfId="0" applyNumberFormat="1" applyFont="1" applyFill="1" applyBorder="1" applyAlignment="1">
      <alignment horizontal="right" vertical="center"/>
    </xf>
    <xf numFmtId="188" fontId="7" fillId="0" borderId="0" xfId="0" applyNumberFormat="1" applyFont="1" applyAlignment="1">
      <alignment horizontal="center" vertical="center"/>
    </xf>
    <xf numFmtId="168" fontId="87" fillId="2" borderId="1" xfId="1" applyNumberFormat="1" applyFont="1" applyFill="1" applyBorder="1" applyAlignment="1">
      <alignment horizontal="center" vertical="center" wrapText="1"/>
    </xf>
    <xf numFmtId="1" fontId="87" fillId="2" borderId="1" xfId="155" applyNumberFormat="1" applyFont="1" applyFill="1" applyBorder="1" applyAlignment="1">
      <alignment horizontal="center" vertical="center" wrapText="1"/>
    </xf>
    <xf numFmtId="1" fontId="87" fillId="2" borderId="1" xfId="155" quotePrefix="1" applyNumberFormat="1" applyFont="1" applyFill="1" applyBorder="1" applyAlignment="1">
      <alignment horizontal="center" vertical="center" wrapText="1"/>
    </xf>
    <xf numFmtId="41" fontId="103" fillId="2" borderId="1" xfId="247" applyFont="1" applyFill="1" applyBorder="1" applyAlignment="1" applyProtection="1">
      <alignment horizontal="right" vertical="center" wrapText="1"/>
      <protection hidden="1"/>
    </xf>
    <xf numFmtId="0" fontId="40" fillId="2" borderId="1" xfId="244" applyFont="1" applyFill="1" applyBorder="1" applyAlignment="1">
      <alignment horizontal="center" vertical="center"/>
    </xf>
    <xf numFmtId="0" fontId="40" fillId="2" borderId="1" xfId="0" applyFont="1" applyFill="1" applyBorder="1" applyAlignment="1">
      <alignment vertical="center"/>
    </xf>
    <xf numFmtId="0" fontId="120" fillId="2" borderId="1" xfId="0" applyFont="1" applyFill="1" applyBorder="1" applyAlignment="1">
      <alignment vertical="center"/>
    </xf>
    <xf numFmtId="0" fontId="40" fillId="2" borderId="1" xfId="0" applyFont="1" applyFill="1" applyBorder="1" applyAlignment="1">
      <alignment horizontal="center" vertical="center"/>
    </xf>
    <xf numFmtId="0" fontId="87" fillId="2" borderId="1" xfId="0" applyFont="1" applyFill="1" applyBorder="1" applyAlignment="1">
      <alignment horizontal="center" vertical="center"/>
    </xf>
    <xf numFmtId="0" fontId="103" fillId="2" borderId="1" xfId="0" applyFont="1" applyFill="1" applyBorder="1" applyAlignment="1">
      <alignment horizontal="center" vertical="center"/>
    </xf>
    <xf numFmtId="0" fontId="40" fillId="2" borderId="0" xfId="0" applyFont="1" applyFill="1" applyAlignment="1">
      <alignment horizontal="center" vertical="center" wrapText="1"/>
    </xf>
    <xf numFmtId="0" fontId="7" fillId="2" borderId="1" xfId="240" applyFont="1" applyFill="1" applyBorder="1" applyAlignment="1">
      <alignment vertical="center" wrapText="1"/>
    </xf>
    <xf numFmtId="0" fontId="7" fillId="2" borderId="1" xfId="240" applyFont="1" applyFill="1" applyBorder="1" applyAlignment="1">
      <alignment horizontal="center" vertical="center" wrapText="1"/>
    </xf>
    <xf numFmtId="175" fontId="4" fillId="2" borderId="1" xfId="0" applyNumberFormat="1" applyFont="1" applyFill="1" applyBorder="1" applyAlignment="1">
      <alignment horizontal="right" vertical="center"/>
    </xf>
    <xf numFmtId="0" fontId="4" fillId="2" borderId="0" xfId="0" applyFont="1" applyFill="1" applyAlignment="1">
      <alignment vertical="center"/>
    </xf>
    <xf numFmtId="175" fontId="99" fillId="2" borderId="0" xfId="0" applyNumberFormat="1" applyFont="1" applyFill="1" applyAlignment="1">
      <alignment horizontal="center" vertical="center"/>
    </xf>
    <xf numFmtId="174" fontId="3" fillId="2" borderId="1" xfId="0" applyNumberFormat="1" applyFont="1" applyFill="1" applyBorder="1" applyAlignment="1" applyProtection="1">
      <alignment horizontal="center" vertical="center" wrapText="1"/>
      <protection locked="0"/>
    </xf>
    <xf numFmtId="174" fontId="6" fillId="2" borderId="1" xfId="0" applyNumberFormat="1" applyFont="1" applyFill="1" applyBorder="1" applyAlignment="1" applyProtection="1">
      <alignment horizontal="center" vertical="center" wrapText="1"/>
      <protection locked="0"/>
    </xf>
    <xf numFmtId="0" fontId="7" fillId="2" borderId="0" xfId="0" applyFont="1" applyFill="1" applyAlignment="1">
      <alignment horizontal="left"/>
    </xf>
    <xf numFmtId="171" fontId="4" fillId="2" borderId="0" xfId="0" applyNumberFormat="1" applyFont="1" applyFill="1" applyAlignment="1">
      <alignment horizontal="left" vertical="center"/>
    </xf>
    <xf numFmtId="0" fontId="105" fillId="2" borderId="1" xfId="0" applyFont="1" applyFill="1" applyBorder="1" applyAlignment="1">
      <alignment horizontal="center" vertical="center" wrapText="1"/>
    </xf>
    <xf numFmtId="2" fontId="99" fillId="2" borderId="0" xfId="0" applyNumberFormat="1" applyFont="1" applyFill="1" applyAlignment="1">
      <alignment horizontal="center" vertical="center"/>
    </xf>
    <xf numFmtId="2" fontId="4" fillId="2" borderId="0" xfId="0" applyNumberFormat="1" applyFont="1" applyFill="1" applyAlignment="1">
      <alignment horizontal="right" vertical="center"/>
    </xf>
    <xf numFmtId="2" fontId="4" fillId="2" borderId="0" xfId="0" applyNumberFormat="1" applyFont="1" applyFill="1" applyAlignment="1">
      <alignment horizontal="center" vertical="center"/>
    </xf>
    <xf numFmtId="171" fontId="118" fillId="2" borderId="0" xfId="0" applyNumberFormat="1" applyFont="1" applyFill="1" applyAlignment="1">
      <alignment horizontal="center" vertical="center" wrapText="1"/>
    </xf>
    <xf numFmtId="175" fontId="99" fillId="0" borderId="0" xfId="0" applyNumberFormat="1" applyFont="1" applyAlignment="1">
      <alignment horizontal="center" vertical="center"/>
    </xf>
    <xf numFmtId="0" fontId="7" fillId="3" borderId="1" xfId="0" applyFont="1" applyFill="1" applyBorder="1" applyAlignment="1">
      <alignment horizontal="center" vertical="center" wrapText="1"/>
    </xf>
    <xf numFmtId="174" fontId="100" fillId="2" borderId="1" xfId="0" applyNumberFormat="1" applyFont="1" applyFill="1" applyBorder="1" applyAlignment="1" applyProtection="1">
      <alignment horizontal="center" vertical="center" wrapText="1"/>
      <protection locked="0"/>
    </xf>
    <xf numFmtId="175" fontId="7" fillId="2" borderId="1" xfId="1" applyNumberFormat="1" applyFont="1" applyFill="1" applyBorder="1" applyAlignment="1">
      <alignment vertical="center" wrapText="1"/>
    </xf>
    <xf numFmtId="0" fontId="102" fillId="0" borderId="0" xfId="0" applyFont="1"/>
    <xf numFmtId="169" fontId="4" fillId="2" borderId="1" xfId="0" applyNumberFormat="1" applyFont="1" applyFill="1" applyBorder="1" applyAlignment="1">
      <alignment horizontal="right" vertical="center"/>
    </xf>
    <xf numFmtId="175" fontId="11" fillId="2" borderId="1" xfId="0" applyNumberFormat="1" applyFont="1" applyFill="1" applyBorder="1" applyAlignment="1">
      <alignment horizontal="right" vertical="center"/>
    </xf>
    <xf numFmtId="169" fontId="4" fillId="2" borderId="0" xfId="0" applyNumberFormat="1" applyFont="1" applyFill="1" applyAlignment="1">
      <alignment horizontal="right" vertical="center"/>
    </xf>
    <xf numFmtId="169" fontId="11" fillId="2" borderId="0" xfId="0" applyNumberFormat="1" applyFont="1" applyFill="1" applyAlignment="1">
      <alignment horizontal="center" vertical="center"/>
    </xf>
    <xf numFmtId="173" fontId="7" fillId="2" borderId="1" xfId="1" applyNumberFormat="1" applyFont="1" applyFill="1" applyBorder="1" applyAlignment="1">
      <alignment vertical="center" wrapText="1"/>
    </xf>
    <xf numFmtId="173" fontId="102" fillId="2" borderId="1" xfId="1" applyNumberFormat="1" applyFont="1" applyFill="1" applyBorder="1" applyAlignment="1">
      <alignment vertical="center" wrapText="1"/>
    </xf>
    <xf numFmtId="169" fontId="7" fillId="2" borderId="0" xfId="0" applyNumberFormat="1" applyFont="1" applyFill="1"/>
    <xf numFmtId="175" fontId="7" fillId="2" borderId="0" xfId="0" applyNumberFormat="1" applyFont="1" applyFill="1" applyAlignment="1">
      <alignment vertical="center"/>
    </xf>
    <xf numFmtId="174" fontId="4" fillId="2" borderId="1" xfId="0" applyNumberFormat="1" applyFont="1" applyFill="1" applyBorder="1" applyAlignment="1" applyProtection="1">
      <alignment vertical="center" wrapText="1"/>
      <protection locked="0"/>
    </xf>
    <xf numFmtId="2" fontId="7" fillId="2" borderId="1" xfId="1" applyNumberFormat="1" applyFont="1" applyFill="1" applyBorder="1" applyAlignment="1">
      <alignment vertical="center" wrapText="1"/>
    </xf>
    <xf numFmtId="174" fontId="7" fillId="2" borderId="1" xfId="0" applyNumberFormat="1" applyFont="1" applyFill="1" applyBorder="1" applyAlignment="1" applyProtection="1">
      <alignment vertical="center" wrapText="1"/>
      <protection locked="0"/>
    </xf>
    <xf numFmtId="173" fontId="7" fillId="2" borderId="1" xfId="0" applyNumberFormat="1" applyFont="1" applyFill="1" applyBorder="1" applyAlignment="1">
      <alignment vertical="center" wrapText="1"/>
    </xf>
    <xf numFmtId="206" fontId="7" fillId="2" borderId="1" xfId="0" applyNumberFormat="1" applyFont="1" applyFill="1" applyBorder="1"/>
    <xf numFmtId="174" fontId="102" fillId="2" borderId="1" xfId="0" applyNumberFormat="1" applyFont="1" applyFill="1" applyBorder="1" applyAlignment="1" applyProtection="1">
      <alignment vertical="center" wrapText="1"/>
      <protection locked="0"/>
    </xf>
    <xf numFmtId="173" fontId="7" fillId="0" borderId="1" xfId="0" applyNumberFormat="1" applyFont="1" applyBorder="1"/>
    <xf numFmtId="173" fontId="7" fillId="0" borderId="1" xfId="1" applyNumberFormat="1" applyFont="1" applyFill="1" applyBorder="1" applyAlignment="1">
      <alignment vertical="center" wrapText="1"/>
    </xf>
    <xf numFmtId="2" fontId="7" fillId="0" borderId="1" xfId="1" applyNumberFormat="1" applyFont="1" applyFill="1" applyBorder="1" applyAlignment="1">
      <alignment vertical="center" wrapText="1"/>
    </xf>
    <xf numFmtId="173" fontId="6" fillId="2" borderId="1" xfId="1" applyNumberFormat="1" applyFont="1" applyFill="1" applyBorder="1" applyAlignment="1">
      <alignment vertical="center" wrapText="1"/>
    </xf>
    <xf numFmtId="171" fontId="7" fillId="2" borderId="1" xfId="0" applyNumberFormat="1" applyFont="1" applyFill="1" applyBorder="1" applyAlignment="1">
      <alignment vertical="center"/>
    </xf>
    <xf numFmtId="0" fontId="7" fillId="2" borderId="0" xfId="0" applyFont="1" applyFill="1" applyAlignment="1">
      <alignment vertical="center"/>
    </xf>
    <xf numFmtId="0" fontId="9" fillId="2" borderId="1" xfId="0" applyFont="1" applyFill="1" applyBorder="1"/>
    <xf numFmtId="1" fontId="6" fillId="2" borderId="1" xfId="1" applyNumberFormat="1" applyFont="1" applyFill="1" applyBorder="1" applyAlignment="1">
      <alignment horizontal="center" vertical="center"/>
    </xf>
    <xf numFmtId="0" fontId="100" fillId="2" borderId="0" xfId="0" applyFont="1" applyFill="1" applyAlignment="1">
      <alignment horizontal="right" vertical="center"/>
    </xf>
    <xf numFmtId="1" fontId="6" fillId="2"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justify" vertical="center" wrapText="1"/>
    </xf>
    <xf numFmtId="1" fontId="6" fillId="0" borderId="1" xfId="0" applyNumberFormat="1" applyFont="1" applyBorder="1" applyAlignment="1">
      <alignment horizontal="center" vertical="center" wrapText="1"/>
    </xf>
    <xf numFmtId="169" fontId="7" fillId="2" borderId="1" xfId="0" applyNumberFormat="1" applyFont="1" applyFill="1" applyBorder="1" applyAlignment="1" applyProtection="1">
      <alignment horizontal="right" vertical="center" wrapText="1"/>
      <protection locked="0"/>
    </xf>
    <xf numFmtId="169" fontId="6" fillId="2" borderId="1" xfId="1" applyNumberFormat="1" applyFont="1" applyFill="1" applyBorder="1" applyAlignment="1">
      <alignment horizontal="right" vertical="center"/>
    </xf>
    <xf numFmtId="169" fontId="6" fillId="2" borderId="1" xfId="0" applyNumberFormat="1" applyFont="1" applyFill="1" applyBorder="1" applyAlignment="1" applyProtection="1">
      <alignment horizontal="right" vertical="center" wrapText="1"/>
      <protection locked="0"/>
    </xf>
    <xf numFmtId="169" fontId="6" fillId="2" borderId="1" xfId="5" quotePrefix="1" applyNumberFormat="1" applyFill="1" applyBorder="1" applyAlignment="1">
      <alignment horizontal="right" vertical="center" wrapText="1"/>
    </xf>
    <xf numFmtId="169" fontId="6" fillId="2" borderId="1" xfId="0" applyNumberFormat="1" applyFont="1" applyFill="1" applyBorder="1" applyAlignment="1">
      <alignment horizontal="right" vertical="center" wrapText="1"/>
    </xf>
    <xf numFmtId="169" fontId="6" fillId="0" borderId="1" xfId="0" applyNumberFormat="1" applyFont="1" applyBorder="1" applyAlignment="1">
      <alignment horizontal="right" vertical="center"/>
    </xf>
    <xf numFmtId="169" fontId="6" fillId="0" borderId="1" xfId="0" applyNumberFormat="1" applyFont="1" applyBorder="1" applyAlignment="1" applyProtection="1">
      <alignment horizontal="right" vertical="center" wrapText="1"/>
      <protection locked="0"/>
    </xf>
    <xf numFmtId="169" fontId="6" fillId="0" borderId="1" xfId="1" applyNumberFormat="1" applyFont="1" applyFill="1" applyBorder="1" applyAlignment="1">
      <alignment horizontal="right" vertical="center"/>
    </xf>
    <xf numFmtId="169" fontId="7" fillId="0" borderId="1" xfId="0" applyNumberFormat="1" applyFont="1" applyBorder="1" applyAlignment="1">
      <alignment horizontal="right" vertical="center"/>
    </xf>
    <xf numFmtId="169" fontId="7" fillId="0" borderId="1" xfId="0" applyNumberFormat="1" applyFont="1" applyBorder="1" applyAlignment="1" applyProtection="1">
      <alignment horizontal="right" vertical="center" wrapText="1"/>
      <protection locked="0"/>
    </xf>
    <xf numFmtId="169" fontId="6" fillId="0" borderId="1" xfId="0" applyNumberFormat="1" applyFont="1" applyBorder="1" applyAlignment="1">
      <alignment horizontal="right" vertical="center" wrapText="1"/>
    </xf>
    <xf numFmtId="169" fontId="7" fillId="2" borderId="1" xfId="5" quotePrefix="1" applyNumberFormat="1" applyFont="1" applyFill="1" applyBorder="1" applyAlignment="1">
      <alignment horizontal="right" vertical="center" wrapText="1"/>
    </xf>
    <xf numFmtId="169" fontId="7" fillId="0" borderId="1" xfId="5" applyNumberFormat="1" applyFont="1" applyBorder="1" applyAlignment="1">
      <alignment horizontal="right" vertical="center" wrapText="1"/>
    </xf>
    <xf numFmtId="169" fontId="6" fillId="0" borderId="1" xfId="5" applyNumberFormat="1" applyBorder="1" applyAlignment="1">
      <alignment horizontal="right" vertical="center" wrapText="1"/>
    </xf>
    <xf numFmtId="169" fontId="6" fillId="2" borderId="1" xfId="5" applyNumberFormat="1" applyFill="1" applyBorder="1" applyAlignment="1">
      <alignment horizontal="right" vertical="center" wrapText="1"/>
    </xf>
    <xf numFmtId="175" fontId="100" fillId="0" borderId="1" xfId="1" applyNumberFormat="1" applyFont="1" applyFill="1" applyBorder="1" applyAlignment="1" applyProtection="1">
      <alignment horizontal="right" vertical="center"/>
      <protection locked="0"/>
    </xf>
    <xf numFmtId="171" fontId="8" fillId="2" borderId="1" xfId="0" applyNumberFormat="1" applyFont="1" applyFill="1" applyBorder="1" applyAlignment="1">
      <alignment horizontal="right" vertical="center"/>
    </xf>
    <xf numFmtId="0" fontId="9" fillId="2" borderId="1" xfId="0" applyFont="1" applyFill="1" applyBorder="1" applyAlignment="1">
      <alignment horizontal="right" vertical="center"/>
    </xf>
    <xf numFmtId="171" fontId="9" fillId="2" borderId="1" xfId="0" applyNumberFormat="1" applyFont="1" applyFill="1" applyBorder="1" applyAlignment="1">
      <alignment horizontal="right" vertical="center"/>
    </xf>
    <xf numFmtId="0" fontId="114" fillId="2" borderId="1" xfId="0" applyFont="1" applyFill="1" applyBorder="1" applyAlignment="1">
      <alignment horizontal="right" vertical="center"/>
    </xf>
    <xf numFmtId="171" fontId="114" fillId="2" borderId="1" xfId="0" applyNumberFormat="1" applyFont="1" applyFill="1" applyBorder="1" applyAlignment="1">
      <alignment horizontal="right" vertical="center"/>
    </xf>
    <xf numFmtId="168" fontId="100" fillId="3" borderId="1" xfId="1" applyNumberFormat="1" applyFont="1" applyFill="1" applyBorder="1" applyAlignment="1" applyProtection="1">
      <alignment horizontal="center" vertical="center" wrapText="1"/>
      <protection locked="0"/>
    </xf>
    <xf numFmtId="0" fontId="3" fillId="2" borderId="0" xfId="0" applyFont="1" applyFill="1" applyAlignment="1">
      <alignment horizontal="left"/>
    </xf>
    <xf numFmtId="175" fontId="7" fillId="0" borderId="0" xfId="0" applyNumberFormat="1" applyFont="1" applyAlignment="1">
      <alignment horizontal="center" vertical="center"/>
    </xf>
    <xf numFmtId="0" fontId="7" fillId="2" borderId="2" xfId="0" applyFont="1" applyFill="1" applyBorder="1" applyAlignment="1">
      <alignment horizontal="center" wrapText="1"/>
    </xf>
    <xf numFmtId="0" fontId="7" fillId="2" borderId="0" xfId="0" applyFont="1" applyFill="1" applyAlignment="1">
      <alignment horizontal="center" wrapText="1"/>
    </xf>
    <xf numFmtId="0" fontId="4" fillId="0" borderId="1" xfId="0" applyFont="1" applyBorder="1" applyAlignment="1">
      <alignment horizontal="center" wrapText="1"/>
    </xf>
    <xf numFmtId="4" fontId="4" fillId="2" borderId="0" xfId="0" applyNumberFormat="1" applyFont="1" applyFill="1" applyAlignment="1">
      <alignment horizontal="right" vertical="center"/>
    </xf>
    <xf numFmtId="4" fontId="7" fillId="0" borderId="0" xfId="0" applyNumberFormat="1" applyFont="1"/>
    <xf numFmtId="4" fontId="4" fillId="2" borderId="0" xfId="0" applyNumberFormat="1" applyFont="1" applyFill="1" applyAlignment="1">
      <alignment horizontal="center" vertical="center"/>
    </xf>
    <xf numFmtId="4" fontId="11" fillId="2" borderId="0" xfId="0" applyNumberFormat="1" applyFont="1" applyFill="1" applyAlignment="1">
      <alignment horizontal="center" vertical="center"/>
    </xf>
    <xf numFmtId="4" fontId="11" fillId="2" borderId="0" xfId="0" applyNumberFormat="1" applyFont="1" applyFill="1" applyAlignment="1">
      <alignment horizontal="right" wrapText="1"/>
    </xf>
    <xf numFmtId="4" fontId="7" fillId="0" borderId="0" xfId="0" applyNumberFormat="1" applyFont="1" applyAlignment="1">
      <alignment horizontal="center" vertical="center"/>
    </xf>
    <xf numFmtId="4" fontId="4" fillId="2" borderId="0" xfId="1" applyNumberFormat="1" applyFont="1" applyFill="1" applyBorder="1" applyAlignment="1">
      <alignment horizontal="center" vertical="center" wrapText="1"/>
    </xf>
    <xf numFmtId="4" fontId="7" fillId="0" borderId="0" xfId="0" applyNumberFormat="1" applyFont="1" applyAlignment="1">
      <alignment horizontal="center" wrapText="1"/>
    </xf>
    <xf numFmtId="2" fontId="6" fillId="2" borderId="0" xfId="0" applyNumberFormat="1" applyFont="1" applyFill="1"/>
    <xf numFmtId="173" fontId="4" fillId="2" borderId="0" xfId="0" applyNumberFormat="1" applyFont="1" applyFill="1" applyAlignment="1">
      <alignment horizontal="right" vertical="center"/>
    </xf>
    <xf numFmtId="0" fontId="121" fillId="0" borderId="1" xfId="0" applyFont="1" applyBorder="1" applyAlignment="1">
      <alignment horizontal="center" vertical="center"/>
    </xf>
    <xf numFmtId="0" fontId="89" fillId="0" borderId="1" xfId="0" applyFont="1" applyBorder="1" applyAlignment="1">
      <alignment horizontal="center" vertical="center"/>
    </xf>
    <xf numFmtId="170" fontId="89" fillId="0" borderId="1" xfId="1" applyNumberFormat="1" applyFont="1" applyBorder="1" applyAlignment="1">
      <alignment horizontal="right" vertical="center"/>
    </xf>
    <xf numFmtId="2" fontId="89" fillId="0" borderId="1" xfId="0" applyNumberFormat="1" applyFont="1" applyBorder="1" applyAlignment="1">
      <alignment vertical="center"/>
    </xf>
    <xf numFmtId="170" fontId="10" fillId="0" borderId="1" xfId="1" applyNumberFormat="1" applyFont="1" applyBorder="1" applyAlignment="1">
      <alignment vertical="center"/>
    </xf>
    <xf numFmtId="165" fontId="10" fillId="0" borderId="1" xfId="1" applyFont="1" applyBorder="1" applyAlignment="1">
      <alignment vertical="center"/>
    </xf>
    <xf numFmtId="0" fontId="7" fillId="2" borderId="1" xfId="8" applyFont="1" applyFill="1" applyBorder="1" applyAlignment="1" applyProtection="1">
      <alignment vertical="center" wrapText="1"/>
      <protection locked="0"/>
    </xf>
    <xf numFmtId="0" fontId="10" fillId="0" borderId="1" xfId="0" applyFont="1" applyBorder="1" applyAlignment="1">
      <alignment vertical="center"/>
    </xf>
    <xf numFmtId="175" fontId="0" fillId="0" borderId="0" xfId="0" applyNumberFormat="1"/>
    <xf numFmtId="3" fontId="7" fillId="2" borderId="1" xfId="243" applyNumberFormat="1" applyFont="1" applyFill="1" applyBorder="1" applyAlignment="1" applyProtection="1">
      <alignment vertical="center" wrapText="1"/>
      <protection hidden="1"/>
    </xf>
    <xf numFmtId="0" fontId="0" fillId="0" borderId="0" xfId="0" applyAlignment="1">
      <alignment horizontal="left"/>
    </xf>
    <xf numFmtId="0" fontId="0" fillId="0" borderId="1" xfId="0" applyBorder="1"/>
    <xf numFmtId="170" fontId="10" fillId="0" borderId="1" xfId="1" applyNumberFormat="1" applyFont="1" applyFill="1" applyBorder="1" applyAlignment="1">
      <alignment vertical="center"/>
    </xf>
    <xf numFmtId="175" fontId="121" fillId="0" borderId="0" xfId="0" applyNumberFormat="1" applyFont="1"/>
    <xf numFmtId="0" fontId="40" fillId="0" borderId="1" xfId="0" applyFont="1" applyBorder="1" applyAlignment="1">
      <alignment horizontal="center" vertical="center"/>
    </xf>
    <xf numFmtId="0" fontId="40" fillId="0" borderId="1" xfId="0" applyFont="1" applyBorder="1"/>
    <xf numFmtId="0" fontId="87" fillId="0" borderId="1" xfId="0" applyFont="1" applyBorder="1" applyAlignment="1">
      <alignment horizontal="center" vertical="center"/>
    </xf>
    <xf numFmtId="0" fontId="40" fillId="0" borderId="0" xfId="0" applyFont="1" applyAlignment="1">
      <alignment horizontal="left"/>
    </xf>
    <xf numFmtId="0" fontId="89" fillId="0" borderId="1" xfId="0" applyFont="1" applyBorder="1" applyAlignment="1">
      <alignment horizontal="left" vertical="center"/>
    </xf>
    <xf numFmtId="173" fontId="7" fillId="2" borderId="0" xfId="0" applyNumberFormat="1" applyFont="1" applyFill="1" applyAlignment="1">
      <alignment horizontal="right" vertical="center"/>
    </xf>
    <xf numFmtId="175" fontId="7" fillId="2" borderId="0" xfId="0" applyNumberFormat="1" applyFont="1" applyFill="1" applyAlignment="1">
      <alignment horizontal="right" vertical="center"/>
    </xf>
    <xf numFmtId="188" fontId="3" fillId="2" borderId="0" xfId="0" applyNumberFormat="1" applyFont="1" applyFill="1" applyAlignment="1">
      <alignment horizontal="right" vertical="center"/>
    </xf>
    <xf numFmtId="2" fontId="3" fillId="2" borderId="0" xfId="0" applyNumberFormat="1" applyFont="1" applyFill="1" applyAlignment="1">
      <alignment horizontal="right" vertical="center"/>
    </xf>
    <xf numFmtId="3" fontId="118" fillId="2" borderId="0" xfId="0" applyNumberFormat="1" applyFont="1" applyFill="1" applyAlignment="1">
      <alignment horizontal="right" vertical="center" wrapText="1"/>
    </xf>
    <xf numFmtId="0" fontId="6" fillId="2" borderId="1" xfId="0" applyFont="1" applyFill="1" applyBorder="1" applyAlignment="1" applyProtection="1">
      <alignment horizontal="right" vertical="center" wrapText="1"/>
      <protection locked="0"/>
    </xf>
    <xf numFmtId="205" fontId="7" fillId="0" borderId="0" xfId="0" applyNumberFormat="1" applyFont="1"/>
    <xf numFmtId="0" fontId="102" fillId="0" borderId="1" xfId="0" applyFont="1" applyBorder="1" applyAlignment="1">
      <alignment horizontal="right" vertical="center"/>
    </xf>
    <xf numFmtId="165" fontId="90" fillId="0" borderId="1" xfId="1" applyFont="1" applyBorder="1" applyAlignment="1">
      <alignment vertical="center"/>
    </xf>
    <xf numFmtId="2" fontId="90" fillId="0" borderId="1" xfId="0" applyNumberFormat="1" applyFont="1" applyBorder="1" applyAlignment="1">
      <alignment vertical="center"/>
    </xf>
    <xf numFmtId="0" fontId="122" fillId="0" borderId="0" xfId="0" applyFont="1"/>
    <xf numFmtId="1" fontId="3" fillId="2" borderId="1" xfId="5" applyNumberFormat="1" applyFont="1" applyFill="1" applyBorder="1" applyAlignment="1">
      <alignment horizontal="center" vertical="center" wrapText="1"/>
    </xf>
    <xf numFmtId="173" fontId="6" fillId="2" borderId="1" xfId="0" applyNumberFormat="1" applyFont="1" applyFill="1" applyBorder="1"/>
    <xf numFmtId="0" fontId="123" fillId="2" borderId="1" xfId="0" applyFont="1" applyFill="1" applyBorder="1" applyAlignment="1">
      <alignment horizontal="center" vertical="center" wrapText="1"/>
    </xf>
    <xf numFmtId="0" fontId="123" fillId="0" borderId="1" xfId="0" applyFont="1" applyBorder="1" applyAlignment="1">
      <alignment horizontal="center" wrapText="1"/>
    </xf>
    <xf numFmtId="175" fontId="3" fillId="0" borderId="0" xfId="0" applyNumberFormat="1" applyFont="1" applyAlignment="1">
      <alignment horizontal="center" vertical="center"/>
    </xf>
    <xf numFmtId="175" fontId="6" fillId="2" borderId="0" xfId="0" applyNumberFormat="1" applyFont="1" applyFill="1" applyAlignment="1">
      <alignment horizontal="right" vertical="center"/>
    </xf>
    <xf numFmtId="175" fontId="3" fillId="2" borderId="0" xfId="0" applyNumberFormat="1" applyFont="1" applyFill="1" applyAlignment="1">
      <alignment horizontal="right" vertical="center"/>
    </xf>
    <xf numFmtId="169" fontId="7" fillId="2" borderId="1" xfId="0" applyNumberFormat="1" applyFont="1" applyFill="1" applyBorder="1"/>
    <xf numFmtId="4" fontId="3" fillId="2" borderId="1" xfId="0" applyNumberFormat="1" applyFont="1" applyFill="1" applyBorder="1" applyAlignment="1" applyProtection="1">
      <alignment horizontal="right" vertical="center" wrapText="1"/>
      <protection locked="0"/>
    </xf>
    <xf numFmtId="174" fontId="100" fillId="2" borderId="1" xfId="1"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173" fontId="7" fillId="2" borderId="1" xfId="1" applyNumberFormat="1" applyFont="1" applyFill="1" applyBorder="1" applyAlignment="1">
      <alignment horizontal="center" vertical="center" wrapText="1"/>
    </xf>
    <xf numFmtId="0" fontId="125" fillId="2" borderId="1" xfId="246" applyFont="1" applyFill="1" applyBorder="1" applyAlignment="1">
      <alignment vertical="center" wrapText="1"/>
    </xf>
    <xf numFmtId="3" fontId="125" fillId="2" borderId="1" xfId="243" applyNumberFormat="1" applyFont="1" applyFill="1" applyBorder="1" applyAlignment="1" applyProtection="1">
      <alignment vertical="center" wrapText="1"/>
      <protection hidden="1"/>
    </xf>
    <xf numFmtId="0" fontId="125" fillId="2" borderId="1" xfId="8" applyFont="1" applyFill="1" applyBorder="1" applyAlignment="1" applyProtection="1">
      <alignment vertical="center" wrapText="1"/>
      <protection locked="0"/>
    </xf>
    <xf numFmtId="0" fontId="88" fillId="0" borderId="1" xfId="0" applyFont="1" applyBorder="1" applyAlignment="1">
      <alignment vertical="center" wrapText="1"/>
    </xf>
    <xf numFmtId="0" fontId="124" fillId="0" borderId="1" xfId="246" applyFont="1" applyBorder="1" applyAlignment="1">
      <alignment horizontal="center" vertical="center" wrapText="1"/>
    </xf>
    <xf numFmtId="0" fontId="124" fillId="0" borderId="1" xfId="0" applyFont="1" applyBorder="1" applyAlignment="1">
      <alignment vertical="center" wrapText="1"/>
    </xf>
    <xf numFmtId="0" fontId="1" fillId="0" borderId="1" xfId="0" applyFont="1" applyBorder="1" applyAlignment="1">
      <alignment wrapText="1"/>
    </xf>
    <xf numFmtId="0" fontId="126" fillId="0" borderId="1" xfId="246" applyFont="1" applyBorder="1" applyAlignment="1">
      <alignment vertical="center" wrapText="1"/>
    </xf>
    <xf numFmtId="171" fontId="4" fillId="2" borderId="1" xfId="4" applyNumberFormat="1" applyFont="1" applyFill="1" applyBorder="1" applyAlignment="1">
      <alignment horizontal="center" vertical="center" wrapText="1"/>
    </xf>
    <xf numFmtId="210" fontId="0" fillId="0" borderId="0" xfId="0" applyNumberFormat="1"/>
    <xf numFmtId="169" fontId="121" fillId="0" borderId="0" xfId="0" applyNumberFormat="1" applyFont="1"/>
    <xf numFmtId="2" fontId="40" fillId="0" borderId="1" xfId="0" applyNumberFormat="1" applyFont="1" applyBorder="1" applyAlignment="1">
      <alignment vertical="center"/>
    </xf>
    <xf numFmtId="170" fontId="40" fillId="0" borderId="1" xfId="1" applyNumberFormat="1" applyFont="1" applyBorder="1" applyAlignment="1">
      <alignment vertical="center"/>
    </xf>
    <xf numFmtId="165" fontId="40" fillId="0" borderId="1" xfId="1" applyFont="1" applyBorder="1" applyAlignment="1">
      <alignment vertical="center"/>
    </xf>
    <xf numFmtId="0" fontId="90" fillId="0" borderId="0" xfId="0" applyFont="1"/>
    <xf numFmtId="175" fontId="90" fillId="0" borderId="0" xfId="0" applyNumberFormat="1" applyFont="1"/>
    <xf numFmtId="3" fontId="6" fillId="2" borderId="1" xfId="243" applyNumberFormat="1" applyFont="1" applyFill="1" applyBorder="1" applyAlignment="1" applyProtection="1">
      <alignment vertical="center" wrapText="1"/>
      <protection hidden="1"/>
    </xf>
    <xf numFmtId="175" fontId="4" fillId="2" borderId="1" xfId="1" applyNumberFormat="1" applyFont="1" applyFill="1" applyBorder="1" applyAlignment="1">
      <alignment vertical="center" wrapText="1"/>
    </xf>
    <xf numFmtId="175" fontId="4" fillId="2" borderId="1" xfId="1" applyNumberFormat="1" applyFont="1" applyFill="1" applyBorder="1" applyAlignment="1">
      <alignment vertical="center"/>
    </xf>
    <xf numFmtId="173" fontId="3" fillId="2" borderId="1" xfId="1" applyNumberFormat="1" applyFont="1" applyFill="1" applyBorder="1" applyAlignment="1">
      <alignment vertical="center"/>
    </xf>
    <xf numFmtId="173" fontId="6" fillId="2" borderId="1" xfId="0" applyNumberFormat="1" applyFont="1" applyFill="1" applyBorder="1" applyAlignment="1">
      <alignment vertical="center"/>
    </xf>
    <xf numFmtId="175" fontId="4" fillId="2" borderId="1" xfId="0" applyNumberFormat="1" applyFont="1" applyFill="1" applyBorder="1" applyAlignment="1">
      <alignment vertical="center"/>
    </xf>
    <xf numFmtId="173" fontId="3" fillId="2" borderId="1" xfId="0" applyNumberFormat="1" applyFont="1" applyFill="1" applyBorder="1" applyAlignment="1">
      <alignment vertical="center"/>
    </xf>
    <xf numFmtId="175" fontId="102" fillId="2" borderId="1" xfId="0" applyNumberFormat="1" applyFont="1" applyFill="1" applyBorder="1" applyAlignment="1">
      <alignment vertical="center"/>
    </xf>
    <xf numFmtId="173" fontId="100" fillId="2" borderId="1" xfId="0" applyNumberFormat="1" applyFont="1" applyFill="1" applyBorder="1" applyAlignment="1">
      <alignment vertical="center"/>
    </xf>
    <xf numFmtId="175" fontId="6" fillId="2" borderId="1" xfId="1" applyNumberFormat="1" applyFont="1" applyFill="1" applyBorder="1" applyAlignment="1">
      <alignment vertical="center" wrapText="1"/>
    </xf>
    <xf numFmtId="175" fontId="102" fillId="2" borderId="1" xfId="1" applyNumberFormat="1" applyFont="1" applyFill="1" applyBorder="1" applyAlignment="1">
      <alignment vertical="center" wrapText="1"/>
    </xf>
    <xf numFmtId="171" fontId="6" fillId="2" borderId="1" xfId="0" applyNumberFormat="1" applyFont="1" applyFill="1" applyBorder="1" applyAlignment="1">
      <alignment vertical="center"/>
    </xf>
    <xf numFmtId="171" fontId="6" fillId="2" borderId="0" xfId="0" applyNumberFormat="1" applyFont="1" applyFill="1" applyAlignment="1">
      <alignment horizontal="right" vertical="center"/>
    </xf>
    <xf numFmtId="171" fontId="3" fillId="2" borderId="1" xfId="1" applyNumberFormat="1" applyFont="1" applyFill="1" applyBorder="1" applyAlignment="1">
      <alignment horizontal="right" vertical="center" wrapText="1"/>
    </xf>
    <xf numFmtId="171" fontId="3" fillId="2" borderId="1" xfId="247" applyNumberFormat="1" applyFont="1" applyFill="1" applyBorder="1" applyAlignment="1">
      <alignment horizontal="right" vertical="center" wrapText="1"/>
    </xf>
    <xf numFmtId="171" fontId="100" fillId="2" borderId="1" xfId="247" applyNumberFormat="1" applyFont="1" applyFill="1" applyBorder="1" applyAlignment="1">
      <alignment horizontal="right" vertical="center" wrapText="1"/>
    </xf>
    <xf numFmtId="171" fontId="100" fillId="2" borderId="1" xfId="155" applyNumberFormat="1" applyFont="1" applyFill="1" applyBorder="1" applyAlignment="1">
      <alignment horizontal="right" vertical="center" wrapText="1"/>
    </xf>
    <xf numFmtId="171" fontId="6" fillId="2" borderId="1" xfId="1" applyNumberFormat="1" applyFont="1" applyFill="1" applyBorder="1" applyAlignment="1">
      <alignment horizontal="right" vertical="center"/>
    </xf>
    <xf numFmtId="171" fontId="3" fillId="2" borderId="1" xfId="155" applyNumberFormat="1" applyFont="1" applyFill="1" applyBorder="1" applyAlignment="1">
      <alignment horizontal="right" vertical="center" wrapText="1"/>
    </xf>
    <xf numFmtId="171" fontId="7" fillId="2" borderId="1" xfId="244" applyNumberFormat="1" applyFont="1" applyFill="1" applyBorder="1" applyAlignment="1">
      <alignment horizontal="right" vertical="center"/>
    </xf>
    <xf numFmtId="171" fontId="3" fillId="2" borderId="1" xfId="1" applyNumberFormat="1" applyFont="1" applyFill="1" applyBorder="1" applyAlignment="1">
      <alignment horizontal="right" vertical="center"/>
    </xf>
    <xf numFmtId="171" fontId="100" fillId="2" borderId="1" xfId="1" applyNumberFormat="1" applyFont="1" applyFill="1" applyBorder="1" applyAlignment="1">
      <alignment horizontal="right" vertical="center"/>
    </xf>
    <xf numFmtId="171" fontId="3" fillId="2" borderId="1" xfId="0" applyNumberFormat="1" applyFont="1" applyFill="1" applyBorder="1" applyAlignment="1">
      <alignment horizontal="right" vertical="center"/>
    </xf>
    <xf numFmtId="0" fontId="87"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xf>
    <xf numFmtId="2" fontId="1" fillId="0" borderId="1" xfId="0" applyNumberFormat="1" applyFont="1" applyBorder="1" applyAlignment="1">
      <alignment vertical="center" wrapText="1"/>
    </xf>
    <xf numFmtId="2" fontId="121" fillId="0" borderId="1" xfId="0" applyNumberFormat="1" applyFont="1" applyBorder="1" applyAlignment="1">
      <alignment vertical="center" wrapText="1"/>
    </xf>
    <xf numFmtId="0" fontId="11" fillId="2" borderId="0" xfId="246" applyFont="1" applyFill="1" applyAlignment="1">
      <alignment horizontal="right" vertical="center" wrapText="1"/>
    </xf>
    <xf numFmtId="0" fontId="87" fillId="0" borderId="0" xfId="0" applyFont="1" applyAlignment="1">
      <alignment vertical="center"/>
    </xf>
    <xf numFmtId="9" fontId="6" fillId="2" borderId="1" xfId="0" applyNumberFormat="1" applyFont="1" applyFill="1" applyBorder="1" applyAlignment="1">
      <alignment horizontal="center" vertical="center" wrapText="1"/>
    </xf>
    <xf numFmtId="171" fontId="3" fillId="2" borderId="0" xfId="0" applyNumberFormat="1" applyFont="1" applyFill="1" applyAlignment="1">
      <alignment horizontal="right" vertical="center"/>
    </xf>
    <xf numFmtId="0" fontId="6" fillId="2" borderId="1" xfId="11" applyFont="1" applyFill="1" applyBorder="1" applyAlignment="1">
      <alignment horizontal="center" vertical="center" wrapText="1"/>
    </xf>
    <xf numFmtId="2" fontId="6" fillId="2" borderId="1" xfId="1" applyNumberFormat="1" applyFont="1" applyFill="1" applyBorder="1" applyAlignment="1">
      <alignment vertical="center" wrapText="1"/>
    </xf>
    <xf numFmtId="174" fontId="6" fillId="2" borderId="1" xfId="0" applyNumberFormat="1" applyFont="1" applyFill="1" applyBorder="1" applyAlignment="1" applyProtection="1">
      <alignment vertical="center" wrapText="1"/>
      <protection locked="0"/>
    </xf>
    <xf numFmtId="174" fontId="6" fillId="2" borderId="1" xfId="1" applyNumberFormat="1" applyFont="1" applyFill="1" applyBorder="1" applyAlignment="1">
      <alignment vertical="center" wrapText="1"/>
    </xf>
    <xf numFmtId="171" fontId="4" fillId="2" borderId="0" xfId="1" applyNumberFormat="1" applyFont="1" applyFill="1" applyBorder="1" applyAlignment="1">
      <alignment horizontal="center" vertical="center" wrapText="1"/>
    </xf>
    <xf numFmtId="0" fontId="6" fillId="3" borderId="1" xfId="0" applyFont="1" applyFill="1" applyBorder="1" applyAlignment="1">
      <alignment horizontal="center" vertical="center"/>
    </xf>
    <xf numFmtId="171" fontId="6" fillId="0" borderId="0" xfId="0" applyNumberFormat="1" applyFont="1" applyAlignment="1">
      <alignment horizontal="center" vertical="center"/>
    </xf>
    <xf numFmtId="173" fontId="3" fillId="2" borderId="1" xfId="1" applyNumberFormat="1" applyFont="1" applyFill="1" applyBorder="1" applyAlignment="1">
      <alignment vertical="center" wrapText="1"/>
    </xf>
    <xf numFmtId="173" fontId="100" fillId="2" borderId="1" xfId="1" applyNumberFormat="1" applyFont="1" applyFill="1" applyBorder="1" applyAlignment="1">
      <alignment vertical="center"/>
    </xf>
    <xf numFmtId="171" fontId="3" fillId="2" borderId="1" xfId="0" applyNumberFormat="1" applyFont="1" applyFill="1" applyBorder="1" applyAlignment="1">
      <alignment vertical="center"/>
    </xf>
    <xf numFmtId="0" fontId="6" fillId="2" borderId="0" xfId="0" applyFont="1" applyFill="1" applyAlignment="1">
      <alignment vertical="center"/>
    </xf>
    <xf numFmtId="4" fontId="7" fillId="2" borderId="0" xfId="0" applyNumberFormat="1" applyFont="1" applyFill="1"/>
    <xf numFmtId="211" fontId="4" fillId="2"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wrapText="1"/>
    </xf>
    <xf numFmtId="2" fontId="4" fillId="2" borderId="1" xfId="0" applyNumberFormat="1" applyFont="1" applyFill="1" applyBorder="1" applyAlignment="1">
      <alignment horizontal="left" vertical="center" wrapText="1"/>
    </xf>
    <xf numFmtId="168" fontId="4" fillId="2" borderId="1" xfId="1" applyNumberFormat="1" applyFont="1" applyFill="1" applyBorder="1" applyAlignment="1">
      <alignment horizontal="left" vertical="center" wrapText="1"/>
    </xf>
    <xf numFmtId="0" fontId="4" fillId="2" borderId="1" xfId="0" applyFont="1" applyFill="1" applyBorder="1" applyAlignment="1">
      <alignment horizontal="left" wrapText="1"/>
    </xf>
    <xf numFmtId="0" fontId="7" fillId="2" borderId="1" xfId="0" applyFont="1" applyFill="1" applyBorder="1" applyAlignment="1">
      <alignment horizontal="left" wrapText="1"/>
    </xf>
    <xf numFmtId="0" fontId="7" fillId="3" borderId="1" xfId="8" applyFont="1" applyFill="1" applyBorder="1" applyAlignment="1" applyProtection="1">
      <alignment horizontal="left" vertical="center" wrapText="1"/>
      <protection locked="0"/>
    </xf>
    <xf numFmtId="175" fontId="7" fillId="2" borderId="1" xfId="0" applyNumberFormat="1" applyFont="1" applyFill="1" applyBorder="1" applyAlignment="1">
      <alignment horizontal="left" wrapText="1"/>
    </xf>
    <xf numFmtId="9" fontId="7" fillId="3" borderId="1" xfId="0" applyNumberFormat="1" applyFont="1" applyFill="1" applyBorder="1" applyAlignment="1">
      <alignment horizontal="left" vertical="center" wrapText="1"/>
    </xf>
    <xf numFmtId="9" fontId="7" fillId="2" borderId="1" xfId="0" applyNumberFormat="1" applyFont="1" applyFill="1" applyBorder="1" applyAlignment="1">
      <alignment horizontal="left" vertical="center" wrapText="1"/>
    </xf>
    <xf numFmtId="171" fontId="7" fillId="2" borderId="1" xfId="0" applyNumberFormat="1" applyFont="1" applyFill="1" applyBorder="1" applyAlignment="1">
      <alignment horizontal="left" vertical="center" wrapText="1"/>
    </xf>
    <xf numFmtId="0" fontId="7" fillId="2" borderId="1" xfId="244" applyFont="1" applyFill="1" applyBorder="1" applyAlignment="1">
      <alignment horizontal="left" vertical="center"/>
    </xf>
    <xf numFmtId="0" fontId="102" fillId="2" borderId="1" xfId="0" applyFont="1" applyFill="1" applyBorder="1" applyAlignment="1">
      <alignment horizontal="left" wrapText="1"/>
    </xf>
    <xf numFmtId="0" fontId="7" fillId="3" borderId="1" xfId="0" applyFont="1" applyFill="1" applyBorder="1" applyAlignment="1">
      <alignment horizontal="left" wrapText="1"/>
    </xf>
    <xf numFmtId="0" fontId="7" fillId="2" borderId="3" xfId="0" applyFont="1" applyFill="1" applyBorder="1" applyAlignment="1">
      <alignment horizontal="left" wrapText="1"/>
    </xf>
    <xf numFmtId="0" fontId="9"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04" fillId="2" borderId="0" xfId="0" applyFont="1" applyFill="1" applyAlignment="1">
      <alignment horizontal="left" wrapText="1"/>
    </xf>
    <xf numFmtId="0" fontId="104" fillId="2" borderId="1" xfId="0" applyFont="1" applyFill="1" applyBorder="1" applyAlignment="1">
      <alignment horizontal="left" wrapText="1"/>
    </xf>
    <xf numFmtId="0" fontId="100" fillId="2" borderId="1" xfId="1" applyNumberFormat="1" applyFont="1" applyFill="1" applyBorder="1" applyAlignment="1">
      <alignment horizontal="center" vertical="center" wrapText="1"/>
    </xf>
    <xf numFmtId="4" fontId="100" fillId="2" borderId="1" xfId="1" applyNumberFormat="1" applyFont="1" applyFill="1" applyBorder="1" applyAlignment="1">
      <alignment horizontal="right" vertical="center" wrapText="1"/>
    </xf>
    <xf numFmtId="0" fontId="3" fillId="2" borderId="2" xfId="1" applyNumberFormat="1" applyFont="1" applyFill="1" applyBorder="1" applyAlignment="1">
      <alignment horizontal="center" vertical="center" wrapText="1"/>
    </xf>
    <xf numFmtId="0" fontId="3" fillId="2" borderId="4" xfId="0" applyFont="1" applyFill="1" applyBorder="1" applyAlignment="1">
      <alignment vertical="center" wrapText="1"/>
    </xf>
    <xf numFmtId="173" fontId="7" fillId="2" borderId="1" xfId="0" applyNumberFormat="1" applyFont="1" applyFill="1" applyBorder="1" applyAlignment="1">
      <alignment horizontal="right"/>
    </xf>
    <xf numFmtId="4" fontId="7" fillId="2" borderId="1" xfId="0" applyNumberFormat="1" applyFont="1" applyFill="1" applyBorder="1"/>
    <xf numFmtId="171" fontId="11" fillId="2" borderId="0" xfId="0" applyNumberFormat="1" applyFont="1" applyFill="1" applyAlignment="1">
      <alignment horizontal="center" vertical="center"/>
    </xf>
    <xf numFmtId="0" fontId="9" fillId="3" borderId="1" xfId="0" applyFont="1" applyFill="1" applyBorder="1" applyAlignment="1">
      <alignment horizontal="center" wrapText="1"/>
    </xf>
    <xf numFmtId="0" fontId="9" fillId="3" borderId="1" xfId="0" applyFont="1" applyFill="1" applyBorder="1" applyAlignment="1">
      <alignment horizontal="center" vertical="center" wrapText="1"/>
    </xf>
    <xf numFmtId="171" fontId="7" fillId="2" borderId="23" xfId="0" applyNumberFormat="1" applyFont="1" applyFill="1" applyBorder="1" applyAlignment="1" applyProtection="1">
      <alignment horizontal="right" vertical="center" wrapText="1"/>
      <protection locked="0"/>
    </xf>
    <xf numFmtId="171" fontId="102" fillId="2" borderId="0" xfId="0" applyNumberFormat="1" applyFont="1" applyFill="1" applyAlignment="1">
      <alignment horizontal="right" vertical="center"/>
    </xf>
    <xf numFmtId="171" fontId="4" fillId="2" borderId="23" xfId="0" applyNumberFormat="1" applyFont="1" applyFill="1" applyBorder="1" applyAlignment="1" applyProtection="1">
      <alignment horizontal="right" vertical="center" wrapText="1"/>
      <protection locked="0"/>
    </xf>
    <xf numFmtId="0" fontId="6" fillId="0" borderId="31" xfId="0" applyFont="1" applyBorder="1" applyAlignment="1">
      <alignment horizontal="justify" vertical="center" wrapText="1"/>
    </xf>
    <xf numFmtId="0" fontId="6" fillId="2" borderId="32" xfId="9" applyFont="1" applyFill="1" applyBorder="1" applyAlignment="1">
      <alignment horizontal="center" vertical="center" wrapText="1"/>
    </xf>
    <xf numFmtId="0" fontId="7" fillId="2" borderId="1" xfId="0" applyFont="1" applyFill="1" applyBorder="1" applyAlignment="1">
      <alignment horizontal="right" vertical="center"/>
    </xf>
    <xf numFmtId="170" fontId="6" fillId="0" borderId="30" xfId="1" applyNumberFormat="1" applyFont="1" applyBorder="1" applyAlignment="1">
      <alignment horizontal="right" vertical="center"/>
    </xf>
    <xf numFmtId="171" fontId="6" fillId="0" borderId="30" xfId="0" applyNumberFormat="1" applyFont="1" applyBorder="1" applyAlignment="1">
      <alignment horizontal="right" vertical="center" wrapText="1"/>
    </xf>
    <xf numFmtId="0" fontId="6" fillId="2" borderId="30" xfId="0" applyFont="1" applyFill="1" applyBorder="1" applyAlignment="1">
      <alignment horizontal="justify" vertical="center" wrapText="1"/>
    </xf>
    <xf numFmtId="170" fontId="6" fillId="0" borderId="30" xfId="1" quotePrefix="1" applyNumberFormat="1" applyFont="1" applyBorder="1" applyAlignment="1">
      <alignment horizontal="right" vertical="center"/>
    </xf>
    <xf numFmtId="176" fontId="6" fillId="2" borderId="0" xfId="0" applyNumberFormat="1" applyFont="1" applyFill="1" applyAlignment="1" applyProtection="1">
      <alignment horizontal="center" vertical="center" wrapText="1"/>
      <protection locked="0"/>
    </xf>
    <xf numFmtId="176" fontId="6" fillId="2" borderId="0" xfId="1" applyNumberFormat="1" applyFont="1" applyFill="1" applyAlignment="1" applyProtection="1">
      <alignment horizontal="center" vertical="center" wrapText="1"/>
      <protection locked="0"/>
    </xf>
    <xf numFmtId="169" fontId="6" fillId="0" borderId="0" xfId="0" applyNumberFormat="1" applyFont="1"/>
    <xf numFmtId="171" fontId="6" fillId="0" borderId="0" xfId="0" applyNumberFormat="1" applyFont="1" applyAlignment="1">
      <alignment horizontal="right"/>
    </xf>
    <xf numFmtId="176" fontId="3" fillId="0" borderId="1" xfId="1" applyNumberFormat="1" applyFont="1" applyFill="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71" fontId="3" fillId="0" borderId="1" xfId="1" applyNumberFormat="1" applyFont="1" applyFill="1" applyBorder="1" applyAlignment="1" applyProtection="1">
      <alignment horizontal="right" vertical="center" wrapText="1"/>
      <protection locked="0"/>
    </xf>
    <xf numFmtId="176" fontId="6" fillId="0" borderId="1" xfId="1" applyNumberFormat="1" applyFont="1" applyFill="1" applyBorder="1" applyAlignment="1" applyProtection="1">
      <alignment horizontal="center" vertical="center" wrapText="1"/>
      <protection locked="0"/>
    </xf>
    <xf numFmtId="0" fontId="3" fillId="0" borderId="0" xfId="0" applyFont="1" applyAlignment="1">
      <alignment horizontal="center" vertical="center"/>
    </xf>
    <xf numFmtId="2" fontId="3" fillId="0" borderId="0" xfId="0" applyNumberFormat="1" applyFont="1" applyAlignment="1">
      <alignment horizontal="center" vertical="center"/>
    </xf>
    <xf numFmtId="169" fontId="3" fillId="0" borderId="1" xfId="0" applyNumberFormat="1" applyFont="1" applyBorder="1" applyAlignment="1">
      <alignment horizontal="right" vertical="center"/>
    </xf>
    <xf numFmtId="168" fontId="3" fillId="0" borderId="1" xfId="1" applyNumberFormat="1" applyFont="1" applyFill="1" applyBorder="1" applyAlignment="1">
      <alignment horizontal="left" vertical="center"/>
    </xf>
    <xf numFmtId="168" fontId="3" fillId="0" borderId="1" xfId="1" applyNumberFormat="1" applyFont="1" applyFill="1" applyBorder="1" applyAlignment="1">
      <alignment horizontal="center" vertical="center"/>
    </xf>
    <xf numFmtId="171" fontId="3" fillId="0" borderId="1" xfId="1" applyNumberFormat="1" applyFont="1" applyFill="1" applyBorder="1" applyAlignment="1">
      <alignment horizontal="right" vertical="center" wrapText="1"/>
    </xf>
    <xf numFmtId="168" fontId="6" fillId="0" borderId="1" xfId="1" applyNumberFormat="1" applyFont="1" applyFill="1" applyBorder="1" applyAlignment="1">
      <alignment horizontal="right" vertical="center" wrapText="1"/>
    </xf>
    <xf numFmtId="0" fontId="3" fillId="0" borderId="1" xfId="0" applyFont="1" applyBorder="1" applyAlignment="1">
      <alignment horizontal="right" vertical="center"/>
    </xf>
    <xf numFmtId="169" fontId="100" fillId="0" borderId="1" xfId="0" applyNumberFormat="1" applyFont="1" applyBorder="1" applyAlignment="1">
      <alignment horizontal="right" vertical="center"/>
    </xf>
    <xf numFmtId="171" fontId="100" fillId="0" borderId="1" xfId="1" applyNumberFormat="1" applyFont="1" applyFill="1" applyBorder="1" applyAlignment="1">
      <alignment horizontal="right" vertical="center" wrapText="1"/>
    </xf>
    <xf numFmtId="168" fontId="100" fillId="0" borderId="1" xfId="1" applyNumberFormat="1" applyFont="1" applyFill="1" applyBorder="1" applyAlignment="1">
      <alignment horizontal="center" vertical="center"/>
    </xf>
    <xf numFmtId="171" fontId="6" fillId="0" borderId="0" xfId="0" applyNumberFormat="1" applyFont="1" applyAlignment="1">
      <alignment horizontal="right" vertical="center"/>
    </xf>
    <xf numFmtId="168" fontId="6" fillId="0" borderId="1" xfId="1" applyNumberFormat="1" applyFont="1" applyFill="1" applyBorder="1" applyAlignment="1">
      <alignment horizontal="center" vertical="center" wrapText="1"/>
    </xf>
    <xf numFmtId="49" fontId="100" fillId="0" borderId="1" xfId="1" applyNumberFormat="1" applyFont="1" applyFill="1" applyBorder="1" applyAlignment="1" applyProtection="1">
      <alignment horizontal="center" vertical="center" wrapText="1"/>
      <protection locked="0"/>
    </xf>
    <xf numFmtId="171" fontId="100" fillId="0" borderId="0" xfId="0" applyNumberFormat="1" applyFont="1" applyAlignment="1">
      <alignment horizontal="right" vertical="center"/>
    </xf>
    <xf numFmtId="168" fontId="100" fillId="0" borderId="1" xfId="1" applyNumberFormat="1" applyFont="1" applyFill="1" applyBorder="1" applyAlignment="1">
      <alignment vertical="center"/>
    </xf>
    <xf numFmtId="168" fontId="8" fillId="0" borderId="1" xfId="1" applyNumberFormat="1" applyFont="1" applyFill="1" applyBorder="1" applyAlignment="1">
      <alignment horizontal="center" vertical="center" wrapText="1"/>
    </xf>
    <xf numFmtId="171" fontId="8" fillId="0" borderId="0" xfId="0" applyNumberFormat="1" applyFont="1" applyAlignment="1">
      <alignment horizontal="right" vertical="center"/>
    </xf>
    <xf numFmtId="49" fontId="3" fillId="0" borderId="1" xfId="1" applyNumberFormat="1" applyFont="1" applyFill="1" applyBorder="1" applyAlignment="1" applyProtection="1">
      <alignment horizontal="center" vertical="center" wrapText="1"/>
      <protection locked="0"/>
    </xf>
    <xf numFmtId="176" fontId="3" fillId="0" borderId="1" xfId="1" applyNumberFormat="1" applyFont="1" applyFill="1" applyBorder="1" applyAlignment="1">
      <alignment horizontal="left" vertical="center"/>
    </xf>
    <xf numFmtId="176" fontId="3" fillId="0" borderId="1" xfId="1" applyNumberFormat="1" applyFont="1" applyFill="1" applyBorder="1" applyAlignment="1">
      <alignment horizontal="center" vertical="center"/>
    </xf>
    <xf numFmtId="168" fontId="9" fillId="0" borderId="1" xfId="1" applyNumberFormat="1" applyFont="1" applyFill="1" applyBorder="1" applyAlignment="1">
      <alignment horizontal="right" vertical="center" wrapText="1"/>
    </xf>
    <xf numFmtId="168" fontId="127" fillId="0" borderId="1" xfId="1" applyNumberFormat="1" applyFont="1" applyFill="1" applyBorder="1" applyAlignment="1">
      <alignment horizontal="right" vertical="center" wrapText="1"/>
    </xf>
    <xf numFmtId="171" fontId="127" fillId="0" borderId="0" xfId="0" applyNumberFormat="1" applyFont="1" applyAlignment="1">
      <alignment horizontal="right" vertical="center"/>
    </xf>
    <xf numFmtId="171" fontId="9" fillId="0" borderId="0" xfId="0" applyNumberFormat="1" applyFont="1" applyAlignment="1">
      <alignment horizontal="right" vertical="center"/>
    </xf>
    <xf numFmtId="171" fontId="6" fillId="0" borderId="1" xfId="2" applyNumberFormat="1" applyFont="1" applyFill="1" applyBorder="1" applyAlignment="1">
      <alignment vertical="center"/>
    </xf>
    <xf numFmtId="0" fontId="9" fillId="0" borderId="0" xfId="0" applyFont="1"/>
    <xf numFmtId="0" fontId="6" fillId="0" borderId="1" xfId="0" applyFont="1" applyBorder="1"/>
    <xf numFmtId="171" fontId="100" fillId="0" borderId="1" xfId="2" applyNumberFormat="1" applyFont="1" applyFill="1" applyBorder="1" applyAlignment="1">
      <alignment vertical="center"/>
    </xf>
    <xf numFmtId="0" fontId="9" fillId="0" borderId="1" xfId="0" applyFont="1" applyBorder="1"/>
    <xf numFmtId="176" fontId="6" fillId="0" borderId="0" xfId="0" applyNumberFormat="1" applyFont="1" applyAlignment="1">
      <alignment horizontal="center"/>
    </xf>
    <xf numFmtId="0" fontId="6" fillId="0" borderId="0" xfId="0" applyFont="1" applyAlignment="1">
      <alignment horizontal="left"/>
    </xf>
    <xf numFmtId="173" fontId="100" fillId="2" borderId="1" xfId="0" applyNumberFormat="1" applyFont="1" applyFill="1" applyBorder="1" applyAlignment="1" applyProtection="1">
      <alignment horizontal="right" vertical="center" wrapText="1"/>
      <protection locked="0"/>
    </xf>
    <xf numFmtId="2" fontId="6" fillId="0" borderId="0" xfId="0" applyNumberFormat="1" applyFont="1" applyAlignment="1">
      <alignment horizontal="center" vertical="center"/>
    </xf>
    <xf numFmtId="168" fontId="6" fillId="0" borderId="1" xfId="1" applyNumberFormat="1" applyFont="1" applyFill="1" applyBorder="1" applyAlignment="1">
      <alignment vertical="center"/>
    </xf>
    <xf numFmtId="0" fontId="128" fillId="2" borderId="1" xfId="0" applyFont="1" applyFill="1" applyBorder="1" applyAlignment="1">
      <alignment vertical="center"/>
    </xf>
    <xf numFmtId="171" fontId="3" fillId="0" borderId="0" xfId="0" applyNumberFormat="1" applyFont="1" applyAlignment="1">
      <alignment horizontal="right" vertical="center"/>
    </xf>
    <xf numFmtId="0" fontId="6" fillId="3" borderId="1" xfId="0" applyFont="1" applyFill="1" applyBorder="1" applyAlignment="1">
      <alignment horizontal="left" vertical="center"/>
    </xf>
    <xf numFmtId="170" fontId="6" fillId="2" borderId="1" xfId="1" applyNumberFormat="1" applyFont="1" applyFill="1" applyBorder="1" applyAlignment="1">
      <alignment horizontal="right" vertical="center"/>
    </xf>
    <xf numFmtId="173" fontId="100" fillId="0" borderId="1" xfId="1" applyNumberFormat="1" applyFont="1" applyFill="1" applyBorder="1" applyAlignment="1" applyProtection="1">
      <alignment horizontal="right" vertical="center"/>
      <protection locked="0"/>
    </xf>
    <xf numFmtId="173" fontId="6" fillId="0" borderId="30" xfId="0" applyNumberFormat="1" applyFont="1" applyBorder="1" applyAlignment="1">
      <alignment horizontal="right" vertical="center" wrapText="1"/>
    </xf>
    <xf numFmtId="173" fontId="6" fillId="2" borderId="1" xfId="5" applyNumberFormat="1" applyFill="1" applyBorder="1" applyAlignment="1">
      <alignment horizontal="right" vertical="center" wrapText="1"/>
    </xf>
    <xf numFmtId="171" fontId="8" fillId="2" borderId="1" xfId="1" applyNumberFormat="1" applyFont="1" applyFill="1" applyBorder="1" applyAlignment="1">
      <alignment horizontal="right" vertical="center" wrapText="1"/>
    </xf>
    <xf numFmtId="171" fontId="6" fillId="0" borderId="1" xfId="1" applyNumberFormat="1" applyFont="1" applyFill="1" applyBorder="1" applyAlignment="1">
      <alignment horizontal="center" vertical="center" wrapText="1"/>
    </xf>
    <xf numFmtId="175" fontId="10" fillId="2" borderId="0" xfId="0" applyNumberFormat="1" applyFont="1" applyFill="1" applyAlignment="1">
      <alignment horizontal="right" vertical="center"/>
    </xf>
    <xf numFmtId="0" fontId="4" fillId="2" borderId="0" xfId="0" applyFont="1" applyFill="1" applyAlignment="1">
      <alignment horizontal="left" vertical="center"/>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2" fontId="3" fillId="2" borderId="1" xfId="0" applyNumberFormat="1" applyFont="1" applyFill="1" applyBorder="1" applyAlignment="1">
      <alignment horizontal="center" vertical="center" wrapText="1"/>
    </xf>
    <xf numFmtId="0" fontId="8" fillId="2" borderId="0" xfId="0" applyFont="1" applyFill="1" applyAlignment="1">
      <alignment horizontal="right" vertical="center" wrapTex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175" fontId="3" fillId="2" borderId="1" xfId="0" applyNumberFormat="1" applyFont="1" applyFill="1" applyBorder="1" applyAlignment="1" applyProtection="1">
      <alignment horizontal="center" vertical="center" wrapText="1"/>
      <protection locked="0"/>
    </xf>
    <xf numFmtId="0" fontId="8" fillId="2" borderId="11" xfId="0" applyFont="1" applyFill="1" applyBorder="1" applyAlignment="1">
      <alignment horizontal="right" vertical="center" wrapText="1"/>
    </xf>
    <xf numFmtId="173" fontId="7" fillId="0" borderId="0" xfId="0" applyNumberFormat="1" applyFont="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75" fontId="3" fillId="2" borderId="1" xfId="4"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4" fillId="2" borderId="0" xfId="0" applyFont="1" applyFill="1" applyAlignment="1">
      <alignment horizontal="right" vertical="center"/>
    </xf>
    <xf numFmtId="0" fontId="4" fillId="3" borderId="0" xfId="0" applyFont="1" applyFill="1" applyAlignment="1">
      <alignment horizontal="right" vertical="center"/>
    </xf>
    <xf numFmtId="0" fontId="4" fillId="3" borderId="0" xfId="0" applyFont="1" applyFill="1" applyAlignment="1">
      <alignment horizontal="center" vertical="center"/>
    </xf>
    <xf numFmtId="0" fontId="11" fillId="2" borderId="0" xfId="0" applyFont="1" applyFill="1" applyAlignment="1">
      <alignment horizontal="center" vertical="center"/>
    </xf>
    <xf numFmtId="0" fontId="11" fillId="3" borderId="0" xfId="0" applyFont="1" applyFill="1" applyAlignment="1">
      <alignment horizontal="center" vertical="center"/>
    </xf>
    <xf numFmtId="0" fontId="11" fillId="2" borderId="11" xfId="0" applyFont="1" applyFill="1" applyBorder="1" applyAlignment="1">
      <alignment horizontal="right" vertical="center" wrapText="1"/>
    </xf>
    <xf numFmtId="171" fontId="4" fillId="2" borderId="1" xfId="0" applyNumberFormat="1" applyFont="1" applyFill="1" applyBorder="1" applyAlignment="1" applyProtection="1">
      <alignment horizontal="center" vertical="center" wrapText="1"/>
      <protection locked="0"/>
    </xf>
    <xf numFmtId="171" fontId="4" fillId="2" borderId="1" xfId="4" applyNumberFormat="1" applyFont="1" applyFill="1" applyBorder="1" applyAlignment="1">
      <alignment horizontal="center" vertical="center" wrapText="1"/>
    </xf>
    <xf numFmtId="171" fontId="4"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171" fontId="4" fillId="2" borderId="1" xfId="247" applyNumberFormat="1" applyFont="1" applyFill="1" applyBorder="1" applyAlignment="1">
      <alignment horizontal="center" vertical="center" wrapText="1"/>
    </xf>
    <xf numFmtId="0" fontId="4" fillId="2" borderId="1" xfId="0" applyFont="1"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71" fontId="4" fillId="2" borderId="4" xfId="155" applyNumberFormat="1" applyFont="1" applyFill="1" applyBorder="1" applyAlignment="1">
      <alignment horizontal="center" vertical="center" wrapText="1"/>
    </xf>
    <xf numFmtId="171" fontId="4" fillId="2" borderId="6" xfId="155" applyNumberFormat="1" applyFont="1" applyFill="1" applyBorder="1" applyAlignment="1">
      <alignment horizontal="center" vertical="center" wrapText="1"/>
    </xf>
    <xf numFmtId="171" fontId="4" fillId="2" borderId="5" xfId="155"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4" fontId="4" fillId="2" borderId="6" xfId="0" applyNumberFormat="1"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wrapText="1"/>
      <protection locked="0"/>
    </xf>
    <xf numFmtId="175" fontId="4" fillId="2" borderId="1"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lignment horizontal="center" vertical="center" wrapText="1"/>
    </xf>
    <xf numFmtId="2" fontId="102" fillId="2" borderId="2" xfId="0" applyNumberFormat="1" applyFont="1" applyFill="1" applyBorder="1" applyAlignment="1">
      <alignment horizontal="center" vertical="center" wrapText="1"/>
    </xf>
    <xf numFmtId="2" fontId="102" fillId="2" borderId="8" xfId="0" applyNumberFormat="1" applyFont="1" applyFill="1" applyBorder="1" applyAlignment="1">
      <alignment horizontal="center" vertical="center" wrapText="1"/>
    </xf>
    <xf numFmtId="2" fontId="102" fillId="2" borderId="3" xfId="0" applyNumberFormat="1" applyFont="1" applyFill="1" applyBorder="1" applyAlignment="1">
      <alignment horizontal="center" vertical="center" wrapText="1"/>
    </xf>
    <xf numFmtId="0" fontId="118" fillId="2" borderId="0" xfId="0" applyFont="1" applyFill="1" applyAlignment="1">
      <alignment horizontal="center" vertical="center" wrapText="1"/>
    </xf>
    <xf numFmtId="3" fontId="119" fillId="2" borderId="0" xfId="0" applyNumberFormat="1" applyFont="1" applyFill="1" applyAlignment="1">
      <alignment horizontal="center" vertical="center" wrapText="1"/>
    </xf>
    <xf numFmtId="0" fontId="117" fillId="2" borderId="0" xfId="0" applyFont="1" applyFill="1" applyAlignment="1">
      <alignment horizontal="center" vertical="center" wrapText="1"/>
    </xf>
    <xf numFmtId="3" fontId="119" fillId="2" borderId="11" xfId="0" applyNumberFormat="1" applyFont="1" applyFill="1" applyBorder="1" applyAlignment="1">
      <alignment horizontal="right" vertical="center" wrapText="1"/>
    </xf>
    <xf numFmtId="0" fontId="118" fillId="2" borderId="1" xfId="0" applyFont="1" applyFill="1" applyBorder="1" applyAlignment="1">
      <alignment horizontal="center" vertical="center" wrapText="1"/>
    </xf>
    <xf numFmtId="0" fontId="118" fillId="2" borderId="2" xfId="0" applyFont="1" applyFill="1" applyBorder="1" applyAlignment="1">
      <alignment horizontal="center" vertical="center" wrapText="1"/>
    </xf>
    <xf numFmtId="0" fontId="118" fillId="2" borderId="3" xfId="0" applyFont="1" applyFill="1" applyBorder="1" applyAlignment="1">
      <alignment horizontal="center" vertical="center" wrapText="1"/>
    </xf>
    <xf numFmtId="171" fontId="118" fillId="2" borderId="1" xfId="0" applyNumberFormat="1" applyFont="1" applyFill="1" applyBorder="1" applyAlignment="1">
      <alignment horizontal="center" vertical="center" wrapText="1"/>
    </xf>
    <xf numFmtId="3" fontId="118" fillId="2" borderId="1" xfId="0" applyNumberFormat="1" applyFont="1" applyFill="1" applyBorder="1" applyAlignment="1">
      <alignment horizontal="center" vertical="center" wrapText="1"/>
    </xf>
    <xf numFmtId="171" fontId="3" fillId="2" borderId="2" xfId="0" applyNumberFormat="1" applyFont="1" applyFill="1" applyBorder="1" applyAlignment="1">
      <alignment horizontal="center" vertical="center" wrapText="1"/>
    </xf>
    <xf numFmtId="171" fontId="3" fillId="2" borderId="3" xfId="0" applyNumberFormat="1" applyFont="1" applyFill="1" applyBorder="1" applyAlignment="1">
      <alignment horizontal="center" vertical="center" wrapText="1"/>
    </xf>
    <xf numFmtId="171" fontId="118" fillId="2" borderId="2" xfId="0" applyNumberFormat="1" applyFont="1" applyFill="1" applyBorder="1" applyAlignment="1">
      <alignment horizontal="center" vertical="center" wrapText="1"/>
    </xf>
    <xf numFmtId="171" fontId="118" fillId="2" borderId="3" xfId="0" applyNumberFormat="1" applyFont="1" applyFill="1" applyBorder="1" applyAlignment="1">
      <alignment horizontal="center" vertical="center" wrapText="1"/>
    </xf>
    <xf numFmtId="0" fontId="89" fillId="0" borderId="0" xfId="0" applyFont="1" applyAlignment="1">
      <alignment horizontal="center" vertical="center"/>
    </xf>
    <xf numFmtId="0" fontId="102"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right"/>
    </xf>
    <xf numFmtId="0" fontId="87" fillId="0" borderId="1" xfId="0" applyFont="1" applyBorder="1" applyAlignment="1">
      <alignment horizontal="center" vertical="center" wrapText="1"/>
    </xf>
    <xf numFmtId="0" fontId="87" fillId="0" borderId="11" xfId="0" applyFont="1" applyBorder="1" applyAlignment="1">
      <alignment horizontal="center" vertical="center"/>
    </xf>
    <xf numFmtId="0" fontId="11" fillId="2" borderId="0" xfId="246" applyFont="1" applyFill="1" applyAlignment="1">
      <alignment horizontal="right" vertical="center" wrapText="1"/>
    </xf>
    <xf numFmtId="0" fontId="87" fillId="0" borderId="1" xfId="0" applyFont="1" applyBorder="1" applyAlignment="1">
      <alignment horizontal="center" vertical="center"/>
    </xf>
    <xf numFmtId="0" fontId="87" fillId="0" borderId="0" xfId="0" applyFont="1" applyAlignment="1">
      <alignment horizontal="center" vertical="center"/>
    </xf>
    <xf numFmtId="0" fontId="3" fillId="2" borderId="0" xfId="0" applyFont="1" applyFill="1" applyAlignment="1">
      <alignment horizontal="left"/>
    </xf>
    <xf numFmtId="0" fontId="3" fillId="2" borderId="11" xfId="0" applyFont="1" applyFill="1" applyBorder="1" applyAlignment="1">
      <alignment horizontal="left"/>
    </xf>
    <xf numFmtId="0" fontId="87" fillId="0" borderId="2"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3" xfId="0" applyFont="1" applyBorder="1" applyAlignment="1">
      <alignment horizontal="center" vertical="center" wrapText="1"/>
    </xf>
    <xf numFmtId="0" fontId="3" fillId="2" borderId="1" xfId="14"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9" xfId="0" applyNumberFormat="1" applyFont="1" applyFill="1" applyBorder="1" applyAlignment="1">
      <alignment horizontal="center" vertical="center" wrapText="1"/>
    </xf>
    <xf numFmtId="2" fontId="3" fillId="2" borderId="10" xfId="0" applyNumberFormat="1" applyFont="1" applyFill="1" applyBorder="1" applyAlignment="1">
      <alignment horizontal="center" vertical="center" wrapText="1"/>
    </xf>
    <xf numFmtId="0" fontId="6" fillId="2" borderId="0" xfId="0" applyFont="1" applyFill="1" applyAlignment="1">
      <alignment horizontal="right" vertical="center"/>
    </xf>
    <xf numFmtId="171" fontId="3" fillId="2" borderId="1" xfId="4" applyNumberFormat="1" applyFont="1" applyFill="1" applyBorder="1" applyAlignment="1">
      <alignment horizontal="center" vertical="center" wrapText="1"/>
    </xf>
    <xf numFmtId="0" fontId="87" fillId="2" borderId="2" xfId="0" applyFont="1" applyFill="1" applyBorder="1" applyAlignment="1">
      <alignment horizontal="center" vertical="center" wrapText="1"/>
    </xf>
    <xf numFmtId="0" fontId="87" fillId="2" borderId="8" xfId="0" applyFont="1" applyFill="1" applyBorder="1" applyAlignment="1">
      <alignment horizontal="center" vertical="center" wrapText="1"/>
    </xf>
    <xf numFmtId="0" fontId="87" fillId="2" borderId="3" xfId="0" applyFont="1" applyFill="1" applyBorder="1" applyAlignment="1">
      <alignment horizontal="center" vertical="center" wrapText="1"/>
    </xf>
    <xf numFmtId="2" fontId="87" fillId="2" borderId="2" xfId="0" applyNumberFormat="1" applyFont="1" applyFill="1" applyBorder="1" applyAlignment="1">
      <alignment horizontal="center" vertical="center" wrapText="1"/>
    </xf>
    <xf numFmtId="2" fontId="87" fillId="2" borderId="8" xfId="0" applyNumberFormat="1" applyFont="1" applyFill="1" applyBorder="1" applyAlignment="1">
      <alignment horizontal="center" vertical="center" wrapText="1"/>
    </xf>
    <xf numFmtId="2" fontId="87" fillId="2" borderId="3" xfId="0" applyNumberFormat="1" applyFont="1" applyFill="1" applyBorder="1" applyAlignment="1">
      <alignment horizontal="center" vertical="center" wrapText="1"/>
    </xf>
    <xf numFmtId="176" fontId="3" fillId="0" borderId="2" xfId="1" applyNumberFormat="1" applyFont="1" applyFill="1" applyBorder="1" applyAlignment="1" applyProtection="1">
      <alignment horizontal="center" vertical="center" wrapText="1"/>
      <protection locked="0"/>
    </xf>
    <xf numFmtId="176" fontId="3" fillId="0" borderId="3" xfId="1" applyNumberFormat="1" applyFont="1" applyFill="1" applyBorder="1" applyAlignment="1" applyProtection="1">
      <alignment horizontal="center" vertical="center" wrapText="1"/>
      <protection locked="0"/>
    </xf>
    <xf numFmtId="0" fontId="99" fillId="0" borderId="6" xfId="0" applyFont="1" applyBorder="1" applyAlignment="1">
      <alignment horizontal="center" vertical="center"/>
    </xf>
    <xf numFmtId="0" fontId="99" fillId="0" borderId="0" xfId="0" applyFont="1" applyAlignment="1">
      <alignment horizontal="center" vertical="center"/>
    </xf>
    <xf numFmtId="176" fontId="3" fillId="0" borderId="0" xfId="0" applyNumberFormat="1" applyFont="1" applyAlignment="1">
      <alignment horizontal="center" vertical="center" wrapText="1"/>
    </xf>
    <xf numFmtId="176" fontId="3" fillId="0" borderId="0" xfId="0" applyNumberFormat="1" applyFont="1" applyAlignment="1">
      <alignment horizontal="center" vertical="center"/>
    </xf>
    <xf numFmtId="176" fontId="8" fillId="0" borderId="0" xfId="0" applyNumberFormat="1" applyFont="1" applyAlignment="1">
      <alignment horizontal="center" vertical="center" wrapText="1"/>
    </xf>
    <xf numFmtId="176" fontId="8" fillId="2" borderId="11" xfId="1" applyNumberFormat="1" applyFont="1" applyFill="1" applyBorder="1" applyAlignment="1" applyProtection="1">
      <alignment horizontal="right" vertical="center" wrapText="1"/>
      <protection locked="0"/>
    </xf>
    <xf numFmtId="176" fontId="3" fillId="0" borderId="2" xfId="0" applyNumberFormat="1" applyFont="1" applyBorder="1" applyAlignment="1" applyProtection="1">
      <alignment horizontal="center" vertical="center" wrapText="1"/>
      <protection locked="0"/>
    </xf>
    <xf numFmtId="176"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76" fontId="3" fillId="0" borderId="23" xfId="1" applyNumberFormat="1" applyFont="1" applyFill="1" applyBorder="1" applyAlignment="1" applyProtection="1">
      <alignment horizontal="center" vertical="center" wrapText="1"/>
      <protection locked="0"/>
    </xf>
    <xf numFmtId="176" fontId="3" fillId="0" borderId="22" xfId="1" applyNumberFormat="1" applyFont="1" applyFill="1" applyBorder="1" applyAlignment="1" applyProtection="1">
      <alignment horizontal="center" vertical="center" wrapText="1"/>
      <protection locked="0"/>
    </xf>
    <xf numFmtId="3" fontId="3" fillId="0" borderId="2" xfId="0" applyNumberFormat="1" applyFont="1" applyBorder="1" applyAlignment="1" applyProtection="1">
      <alignment horizontal="center" vertical="center" wrapText="1"/>
      <protection locked="0"/>
    </xf>
    <xf numFmtId="3" fontId="3" fillId="0" borderId="3" xfId="0" applyNumberFormat="1" applyFont="1" applyBorder="1" applyAlignment="1" applyProtection="1">
      <alignment horizontal="center" vertical="center" wrapText="1"/>
      <protection locked="0"/>
    </xf>
    <xf numFmtId="3" fontId="3" fillId="2" borderId="4" xfId="0" applyNumberFormat="1" applyFont="1" applyFill="1" applyBorder="1" applyAlignment="1" applyProtection="1">
      <alignment horizontal="center" vertical="center" wrapText="1"/>
      <protection locked="0"/>
    </xf>
    <xf numFmtId="3" fontId="3" fillId="2" borderId="7" xfId="0" applyNumberFormat="1" applyFont="1" applyFill="1" applyBorder="1" applyAlignment="1" applyProtection="1">
      <alignment horizontal="center" vertical="center" wrapText="1"/>
      <protection locked="0"/>
    </xf>
    <xf numFmtId="3" fontId="3" fillId="2" borderId="6" xfId="0" applyNumberFormat="1" applyFont="1" applyFill="1" applyBorder="1" applyAlignment="1" applyProtection="1">
      <alignment horizontal="center" vertical="center" wrapText="1"/>
      <protection locked="0"/>
    </xf>
    <xf numFmtId="3" fontId="3" fillId="2" borderId="9" xfId="0" applyNumberFormat="1" applyFont="1" applyFill="1" applyBorder="1" applyAlignment="1" applyProtection="1">
      <alignment horizontal="center" vertical="center" wrapText="1"/>
      <protection locked="0"/>
    </xf>
    <xf numFmtId="3" fontId="3" fillId="2" borderId="5" xfId="0" applyNumberFormat="1"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cellXfs>
  <cellStyles count="251">
    <cellStyle name="          _x000d__x000a_shell=progman.exe_x000d__x000a_m" xfId="110" xr:uid="{00000000-0005-0000-0000-000000000000}"/>
    <cellStyle name="#,##0" xfId="109" xr:uid="{00000000-0005-0000-0000-000001000000}"/>
    <cellStyle name="??" xfId="108" xr:uid="{00000000-0005-0000-0000-000002000000}"/>
    <cellStyle name="?? [0.00]_PRODUCT DETAIL Q1" xfId="107" xr:uid="{00000000-0005-0000-0000-000003000000}"/>
    <cellStyle name="?? [0]" xfId="106" xr:uid="{00000000-0005-0000-0000-000004000000}"/>
    <cellStyle name="?_x001d_??%U©÷u&amp;H©÷9_x0008_?_x0009_s_x000a__x0007__x0001__x0001_" xfId="105" xr:uid="{00000000-0005-0000-0000-000005000000}"/>
    <cellStyle name="???? [0.00]_PRODUCT DETAIL Q1" xfId="104" xr:uid="{00000000-0005-0000-0000-000006000000}"/>
    <cellStyle name="????_PRODUCT DETAIL Q1" xfId="111" xr:uid="{00000000-0005-0000-0000-000007000000}"/>
    <cellStyle name="???[0]_?? DI" xfId="103" xr:uid="{00000000-0005-0000-0000-000008000000}"/>
    <cellStyle name="???_?? DI" xfId="102" xr:uid="{00000000-0005-0000-0000-000009000000}"/>
    <cellStyle name="??[0]_MATL COST ANALYSIS" xfId="101" xr:uid="{00000000-0005-0000-0000-00000A000000}"/>
    <cellStyle name="??_ ??? ???? " xfId="68" xr:uid="{00000000-0005-0000-0000-00000B000000}"/>
    <cellStyle name="??A? [0]_ÿÿÿÿÿÿ_1_¢¬???¢â? " xfId="100" xr:uid="{00000000-0005-0000-0000-00000C000000}"/>
    <cellStyle name="??A?_ÿÿÿÿÿÿ_1_¢¬???¢â? " xfId="99" xr:uid="{00000000-0005-0000-0000-00000D000000}"/>
    <cellStyle name="?¡±¢¥?_?¨ù??¢´¢¥_¢¬???¢â? " xfId="98" xr:uid="{00000000-0005-0000-0000-00000E000000}"/>
    <cellStyle name="?ðÇ%U?&amp;H?_x0008_?s_x000a__x0007__x0001__x0001_" xfId="97" xr:uid="{00000000-0005-0000-0000-00000F000000}"/>
    <cellStyle name="_Huong CHI tieu Nhiem vu CTMTQG 2014(1)" xfId="96" xr:uid="{00000000-0005-0000-0000-000010000000}"/>
    <cellStyle name="_KH.DTC.gd2016-2020 tinh (T2-2015)" xfId="95" xr:uid="{00000000-0005-0000-0000-000011000000}"/>
    <cellStyle name="•W€_STDFOR" xfId="94" xr:uid="{00000000-0005-0000-0000-000012000000}"/>
    <cellStyle name="•W_MARINE" xfId="93" xr:uid="{00000000-0005-0000-0000-000013000000}"/>
    <cellStyle name="W_STDFOR" xfId="92" xr:uid="{00000000-0005-0000-0000-000014000000}"/>
    <cellStyle name="0.0" xfId="86" xr:uid="{00000000-0005-0000-0000-000015000000}"/>
    <cellStyle name="0.00" xfId="87" xr:uid="{00000000-0005-0000-0000-000016000000}"/>
    <cellStyle name="1" xfId="91" xr:uid="{00000000-0005-0000-0000-000017000000}"/>
    <cellStyle name="2" xfId="90" xr:uid="{00000000-0005-0000-0000-000018000000}"/>
    <cellStyle name="20% - Accent1 2" xfId="15" xr:uid="{00000000-0005-0000-0000-000019000000}"/>
    <cellStyle name="20% - Accent2 2" xfId="16" xr:uid="{00000000-0005-0000-0000-00001A000000}"/>
    <cellStyle name="20% - Accent3 2" xfId="17" xr:uid="{00000000-0005-0000-0000-00001B000000}"/>
    <cellStyle name="20% - Accent4 2" xfId="18" xr:uid="{00000000-0005-0000-0000-00001C000000}"/>
    <cellStyle name="20% - Accent5 2" xfId="19" xr:uid="{00000000-0005-0000-0000-00001D000000}"/>
    <cellStyle name="20% - Accent6 2" xfId="20" xr:uid="{00000000-0005-0000-0000-00001E000000}"/>
    <cellStyle name="3" xfId="85" xr:uid="{00000000-0005-0000-0000-00001F000000}"/>
    <cellStyle name="4" xfId="89" xr:uid="{00000000-0005-0000-0000-000020000000}"/>
    <cellStyle name="40% - Accent1 2" xfId="21" xr:uid="{00000000-0005-0000-0000-000021000000}"/>
    <cellStyle name="40% - Accent2 2" xfId="22" xr:uid="{00000000-0005-0000-0000-000022000000}"/>
    <cellStyle name="40% - Accent3 2" xfId="23" xr:uid="{00000000-0005-0000-0000-000023000000}"/>
    <cellStyle name="40% - Accent4 2" xfId="24" xr:uid="{00000000-0005-0000-0000-000024000000}"/>
    <cellStyle name="40% - Accent5 2" xfId="25" xr:uid="{00000000-0005-0000-0000-000025000000}"/>
    <cellStyle name="40% - Accent6 2" xfId="26" xr:uid="{00000000-0005-0000-0000-000026000000}"/>
    <cellStyle name="52" xfId="218" xr:uid="{00000000-0005-0000-0000-000027000000}"/>
    <cellStyle name="6" xfId="63" xr:uid="{00000000-0005-0000-0000-000028000000}"/>
    <cellStyle name="60% - Accent1 2" xfId="27" xr:uid="{00000000-0005-0000-0000-000029000000}"/>
    <cellStyle name="60% - Accent2 2" xfId="28" xr:uid="{00000000-0005-0000-0000-00002A000000}"/>
    <cellStyle name="60% - Accent3 2" xfId="29" xr:uid="{00000000-0005-0000-0000-00002B000000}"/>
    <cellStyle name="60% - Accent4 2" xfId="30" xr:uid="{00000000-0005-0000-0000-00002C000000}"/>
    <cellStyle name="60% - Accent5 2" xfId="31" xr:uid="{00000000-0005-0000-0000-00002D000000}"/>
    <cellStyle name="60% - Accent6 2" xfId="32" xr:uid="{00000000-0005-0000-0000-00002E000000}"/>
    <cellStyle name="Accent1 2" xfId="33" xr:uid="{00000000-0005-0000-0000-00002F000000}"/>
    <cellStyle name="Accent2 2" xfId="34" xr:uid="{00000000-0005-0000-0000-000030000000}"/>
    <cellStyle name="Accent3 2" xfId="35" xr:uid="{00000000-0005-0000-0000-000031000000}"/>
    <cellStyle name="Accent4 2" xfId="36" xr:uid="{00000000-0005-0000-0000-000032000000}"/>
    <cellStyle name="Accent5 2" xfId="37" xr:uid="{00000000-0005-0000-0000-000033000000}"/>
    <cellStyle name="Accent6 2" xfId="38" xr:uid="{00000000-0005-0000-0000-000034000000}"/>
    <cellStyle name="ÅëÈ­ [0]_¿ì¹°Åë" xfId="88" xr:uid="{00000000-0005-0000-0000-000035000000}"/>
    <cellStyle name="AeE­ [0]_INQUIRY ¿µ¾÷AßAø " xfId="64" xr:uid="{00000000-0005-0000-0000-000036000000}"/>
    <cellStyle name="ÅëÈ­_¿ì¹°Åë" xfId="65" xr:uid="{00000000-0005-0000-0000-000037000000}"/>
    <cellStyle name="AeE­_INQUIRY ¿µ¾÷AßAø " xfId="66" xr:uid="{00000000-0005-0000-0000-000038000000}"/>
    <cellStyle name="ÄÞ¸¶ [0]_¿ì¹°Åë" xfId="67" xr:uid="{00000000-0005-0000-0000-000039000000}"/>
    <cellStyle name="AÞ¸¶ [0]_INQUIRY ¿?¾÷AßAø " xfId="84" xr:uid="{00000000-0005-0000-0000-00003A000000}"/>
    <cellStyle name="ÄÞ¸¶_¿ì¹°Åë" xfId="83" xr:uid="{00000000-0005-0000-0000-00003B000000}"/>
    <cellStyle name="AÞ¸¶_INQUIRY ¿?¾÷AßAø " xfId="82" xr:uid="{00000000-0005-0000-0000-00003C000000}"/>
    <cellStyle name="Bad 2" xfId="39" xr:uid="{00000000-0005-0000-0000-00003D000000}"/>
    <cellStyle name="C?AØ_¿?¾÷CoE² " xfId="81" xr:uid="{00000000-0005-0000-0000-00003E000000}"/>
    <cellStyle name="Ç¥ÁØ_´çÃÊ±¸ÀÔ»ý»ê" xfId="80" xr:uid="{00000000-0005-0000-0000-00003F000000}"/>
    <cellStyle name="C￥AØ_¿μ¾÷CoE² " xfId="79" xr:uid="{00000000-0005-0000-0000-000040000000}"/>
    <cellStyle name="Ç¥ÁØ_PO0862_bldg_BQ" xfId="78" xr:uid="{00000000-0005-0000-0000-000041000000}"/>
    <cellStyle name="Calc Currency (0)" xfId="77" xr:uid="{00000000-0005-0000-0000-000042000000}"/>
    <cellStyle name="Calculation 2" xfId="40" xr:uid="{00000000-0005-0000-0000-000043000000}"/>
    <cellStyle name="category" xfId="76" xr:uid="{00000000-0005-0000-0000-000044000000}"/>
    <cellStyle name="ColLevel_0" xfId="7" xr:uid="{00000000-0005-0000-0000-000045000000}"/>
    <cellStyle name="Comma" xfId="1" builtinId="3"/>
    <cellStyle name="Comma [0] 2 3" xfId="247" xr:uid="{B6E2A442-59A7-4D35-8171-1F4B68B96BD2}"/>
    <cellStyle name="Comma 10 10" xfId="74" xr:uid="{00000000-0005-0000-0000-000047000000}"/>
    <cellStyle name="Comma 11" xfId="219" xr:uid="{00000000-0005-0000-0000-000048000000}"/>
    <cellStyle name="Comma 14" xfId="73" xr:uid="{00000000-0005-0000-0000-000049000000}"/>
    <cellStyle name="Comma 15" xfId="75" xr:uid="{00000000-0005-0000-0000-00004A000000}"/>
    <cellStyle name="Comma 2" xfId="2" xr:uid="{00000000-0005-0000-0000-00004B000000}"/>
    <cellStyle name="Comma 2 2" xfId="220" xr:uid="{00000000-0005-0000-0000-00004C000000}"/>
    <cellStyle name="Comma 2 28" xfId="72" xr:uid="{00000000-0005-0000-0000-00004D000000}"/>
    <cellStyle name="Comma 2 3" xfId="221" xr:uid="{00000000-0005-0000-0000-00004E000000}"/>
    <cellStyle name="Comma 2 4" xfId="250" xr:uid="{4F4180EC-BD78-41AC-A507-1AC431C50BDA}"/>
    <cellStyle name="Comma 3" xfId="6" xr:uid="{00000000-0005-0000-0000-00004F000000}"/>
    <cellStyle name="Comma 3 2" xfId="69" xr:uid="{00000000-0005-0000-0000-000050000000}"/>
    <cellStyle name="Comma 4" xfId="12" xr:uid="{00000000-0005-0000-0000-000051000000}"/>
    <cellStyle name="Comma 4 2" xfId="71" xr:uid="{00000000-0005-0000-0000-000052000000}"/>
    <cellStyle name="Comma 4 20" xfId="70" xr:uid="{00000000-0005-0000-0000-000053000000}"/>
    <cellStyle name="Comma 5" xfId="62" xr:uid="{00000000-0005-0000-0000-000054000000}"/>
    <cellStyle name="Comma 6" xfId="112" xr:uid="{00000000-0005-0000-0000-000055000000}"/>
    <cellStyle name="Comma 7" xfId="113" xr:uid="{00000000-0005-0000-0000-000056000000}"/>
    <cellStyle name="Comma 8" xfId="114" xr:uid="{00000000-0005-0000-0000-000057000000}"/>
    <cellStyle name="Comma 9" xfId="249" xr:uid="{FBA7603E-BEFD-4004-809E-8FE4B5AA815C}"/>
    <cellStyle name="Comma0" xfId="115" xr:uid="{00000000-0005-0000-0000-000058000000}"/>
    <cellStyle name="Currency0" xfId="116" xr:uid="{00000000-0005-0000-0000-000059000000}"/>
    <cellStyle name="Check Cell 2" xfId="41" xr:uid="{00000000-0005-0000-0000-00005A000000}"/>
    <cellStyle name="Date" xfId="117" xr:uid="{00000000-0005-0000-0000-00005B000000}"/>
    <cellStyle name="Dezimal [0]_UXO VII" xfId="118" xr:uid="{00000000-0005-0000-0000-00005C000000}"/>
    <cellStyle name="Dezimal_UXO VII" xfId="119" xr:uid="{00000000-0005-0000-0000-00005D000000}"/>
    <cellStyle name="Euro" xfId="120" xr:uid="{00000000-0005-0000-0000-00005E000000}"/>
    <cellStyle name="Explanatory Text 2" xfId="42" xr:uid="{00000000-0005-0000-0000-00005F000000}"/>
    <cellStyle name="Fixed" xfId="121" xr:uid="{00000000-0005-0000-0000-000060000000}"/>
    <cellStyle name="Good 2" xfId="43" xr:uid="{00000000-0005-0000-0000-000061000000}"/>
    <cellStyle name="Grey" xfId="122" xr:uid="{00000000-0005-0000-0000-000062000000}"/>
    <cellStyle name="HEADER" xfId="123" xr:uid="{00000000-0005-0000-0000-000063000000}"/>
    <cellStyle name="Header1" xfId="124" xr:uid="{00000000-0005-0000-0000-000064000000}"/>
    <cellStyle name="Header2" xfId="125" xr:uid="{00000000-0005-0000-0000-000065000000}"/>
    <cellStyle name="Heading 1 2" xfId="44" xr:uid="{00000000-0005-0000-0000-000066000000}"/>
    <cellStyle name="Heading 2 2" xfId="45" xr:uid="{00000000-0005-0000-0000-000067000000}"/>
    <cellStyle name="Heading 3 2" xfId="46" xr:uid="{00000000-0005-0000-0000-000068000000}"/>
    <cellStyle name="Heading 4 2" xfId="47" xr:uid="{00000000-0005-0000-0000-000069000000}"/>
    <cellStyle name="Heading1" xfId="126" xr:uid="{00000000-0005-0000-0000-00006A000000}"/>
    <cellStyle name="Heading2" xfId="127" xr:uid="{00000000-0005-0000-0000-00006B000000}"/>
    <cellStyle name="Input [yellow]" xfId="128" xr:uid="{00000000-0005-0000-0000-00006C000000}"/>
    <cellStyle name="Input 2" xfId="48" xr:uid="{00000000-0005-0000-0000-00006D000000}"/>
    <cellStyle name="Input 3" xfId="237" xr:uid="{00000000-0005-0000-0000-00006E000000}"/>
    <cellStyle name="Input 4" xfId="236" xr:uid="{00000000-0005-0000-0000-00006F000000}"/>
    <cellStyle name="Input 5" xfId="238" xr:uid="{00000000-0005-0000-0000-000070000000}"/>
    <cellStyle name="Ledger 17 x 11 in" xfId="129" xr:uid="{00000000-0005-0000-0000-000071000000}"/>
    <cellStyle name="Ledger 17 x 11 in 2" xfId="130" xr:uid="{00000000-0005-0000-0000-000072000000}"/>
    <cellStyle name="Ledger 17 x 11 in 3" xfId="131" xr:uid="{00000000-0005-0000-0000-000073000000}"/>
    <cellStyle name="Linked Cell 2" xfId="49" xr:uid="{00000000-0005-0000-0000-000074000000}"/>
    <cellStyle name="Loai CBDT" xfId="222" xr:uid="{00000000-0005-0000-0000-000075000000}"/>
    <cellStyle name="Loai CT" xfId="223" xr:uid="{00000000-0005-0000-0000-000076000000}"/>
    <cellStyle name="Loai GD" xfId="224" xr:uid="{00000000-0005-0000-0000-000077000000}"/>
    <cellStyle name="Migliaia (0)_CALPREZZ" xfId="132" xr:uid="{00000000-0005-0000-0000-000078000000}"/>
    <cellStyle name="Migliaia_ PESO ELETTR." xfId="133" xr:uid="{00000000-0005-0000-0000-000079000000}"/>
    <cellStyle name="Millares [0]_Well Timing" xfId="134" xr:uid="{00000000-0005-0000-0000-00007A000000}"/>
    <cellStyle name="Millares_Well Timing" xfId="135" xr:uid="{00000000-0005-0000-0000-00007B000000}"/>
    <cellStyle name="Model" xfId="136" xr:uid="{00000000-0005-0000-0000-00007C000000}"/>
    <cellStyle name="moi" xfId="137" xr:uid="{00000000-0005-0000-0000-00007D000000}"/>
    <cellStyle name="Moneda [0]_Well Timing" xfId="138" xr:uid="{00000000-0005-0000-0000-00007E000000}"/>
    <cellStyle name="Moneda_Well Timing" xfId="139" xr:uid="{00000000-0005-0000-0000-00007F000000}"/>
    <cellStyle name="n" xfId="140" xr:uid="{00000000-0005-0000-0000-000080000000}"/>
    <cellStyle name="Neutral 2" xfId="50" xr:uid="{00000000-0005-0000-0000-000081000000}"/>
    <cellStyle name="Normal" xfId="0" builtinId="0"/>
    <cellStyle name="Normal - Style1" xfId="141" xr:uid="{00000000-0005-0000-0000-000083000000}"/>
    <cellStyle name="Normal 10" xfId="60" xr:uid="{00000000-0005-0000-0000-000084000000}"/>
    <cellStyle name="Normal 10 10 2" xfId="225" xr:uid="{00000000-0005-0000-0000-000085000000}"/>
    <cellStyle name="Normal 10 2" xfId="142" xr:uid="{00000000-0005-0000-0000-000086000000}"/>
    <cellStyle name="Normal 11" xfId="226" xr:uid="{00000000-0005-0000-0000-000087000000}"/>
    <cellStyle name="Normal 12" xfId="227" xr:uid="{00000000-0005-0000-0000-000088000000}"/>
    <cellStyle name="Normal 13" xfId="228" xr:uid="{00000000-0005-0000-0000-000089000000}"/>
    <cellStyle name="Normal 14" xfId="229" xr:uid="{00000000-0005-0000-0000-00008A000000}"/>
    <cellStyle name="Normal 15" xfId="235" xr:uid="{00000000-0005-0000-0000-00008B000000}"/>
    <cellStyle name="Normal 16" xfId="239" xr:uid="{00000000-0005-0000-0000-00008C000000}"/>
    <cellStyle name="Normal 17" xfId="240" xr:uid="{00000000-0005-0000-0000-00008D000000}"/>
    <cellStyle name="Normal 18" xfId="248" xr:uid="{6281AD10-6B92-4307-B243-13D98200F14A}"/>
    <cellStyle name="Normal 2" xfId="3" xr:uid="{00000000-0005-0000-0000-00008E000000}"/>
    <cellStyle name="Normal 2 2" xfId="61" xr:uid="{00000000-0005-0000-0000-00008F000000}"/>
    <cellStyle name="Normal 2 2 2" xfId="144" xr:uid="{00000000-0005-0000-0000-000090000000}"/>
    <cellStyle name="Normal 2 3" xfId="145" xr:uid="{00000000-0005-0000-0000-000091000000}"/>
    <cellStyle name="Normal 2 3 2" xfId="146" xr:uid="{00000000-0005-0000-0000-000092000000}"/>
    <cellStyle name="Normal 2 3 2 2" xfId="243" xr:uid="{E5F63E32-6AB4-4E5D-9E21-DC74E407E3BD}"/>
    <cellStyle name="Normal 2 3 3" xfId="246" xr:uid="{566C3893-0B7E-43E5-BC30-8BBB4E640E7B}"/>
    <cellStyle name="Normal 2 4" xfId="143" xr:uid="{00000000-0005-0000-0000-000093000000}"/>
    <cellStyle name="Normal 2_Bang bieu" xfId="147" xr:uid="{00000000-0005-0000-0000-000094000000}"/>
    <cellStyle name="Normal 23" xfId="148" xr:uid="{00000000-0005-0000-0000-000095000000}"/>
    <cellStyle name="Normal 24" xfId="149" xr:uid="{00000000-0005-0000-0000-000096000000}"/>
    <cellStyle name="Normal 25" xfId="150" xr:uid="{00000000-0005-0000-0000-000097000000}"/>
    <cellStyle name="Normal 26" xfId="151" xr:uid="{00000000-0005-0000-0000-000098000000}"/>
    <cellStyle name="Normal 27" xfId="152" xr:uid="{00000000-0005-0000-0000-000099000000}"/>
    <cellStyle name="Normal 28" xfId="153" xr:uid="{00000000-0005-0000-0000-00009A000000}"/>
    <cellStyle name="Normal 29" xfId="154" xr:uid="{00000000-0005-0000-0000-00009B000000}"/>
    <cellStyle name="Normal 3" xfId="4" xr:uid="{00000000-0005-0000-0000-00009C000000}"/>
    <cellStyle name="Normal 3 2" xfId="156" xr:uid="{00000000-0005-0000-0000-00009D000000}"/>
    <cellStyle name="Normal 3 3" xfId="155" xr:uid="{00000000-0005-0000-0000-00009E000000}"/>
    <cellStyle name="Normal 30" xfId="157" xr:uid="{00000000-0005-0000-0000-00009F000000}"/>
    <cellStyle name="Normal 31" xfId="158" xr:uid="{00000000-0005-0000-0000-0000A0000000}"/>
    <cellStyle name="Normal 32" xfId="159" xr:uid="{00000000-0005-0000-0000-0000A1000000}"/>
    <cellStyle name="Normal 34" xfId="230" xr:uid="{00000000-0005-0000-0000-0000A2000000}"/>
    <cellStyle name="Normal 35" xfId="231" xr:uid="{00000000-0005-0000-0000-0000A3000000}"/>
    <cellStyle name="Normal 4" xfId="8" xr:uid="{00000000-0005-0000-0000-0000A4000000}"/>
    <cellStyle name="Normal 4 2" xfId="160" xr:uid="{00000000-0005-0000-0000-0000A5000000}"/>
    <cellStyle name="Normal 4 4" xfId="245" xr:uid="{C8AD3697-9DDB-4063-8EEA-7E532A034FFD}"/>
    <cellStyle name="Normal 4_Bang bieu" xfId="161" xr:uid="{00000000-0005-0000-0000-0000A6000000}"/>
    <cellStyle name="Normal 5" xfId="9" xr:uid="{00000000-0005-0000-0000-0000A7000000}"/>
    <cellStyle name="Normal 5 2" xfId="232" xr:uid="{00000000-0005-0000-0000-0000A8000000}"/>
    <cellStyle name="Normal 6" xfId="11" xr:uid="{00000000-0005-0000-0000-0000A9000000}"/>
    <cellStyle name="Normal 6 2" xfId="162" xr:uid="{00000000-0005-0000-0000-0000AA000000}"/>
    <cellStyle name="Normal 6 3" xfId="244" xr:uid="{7E6313DE-C43A-4DAA-8F3C-F340965952F3}"/>
    <cellStyle name="Normal 7" xfId="14" xr:uid="{00000000-0005-0000-0000-0000AB000000}"/>
    <cellStyle name="Normal 7 2" xfId="58" xr:uid="{00000000-0005-0000-0000-0000AC000000}"/>
    <cellStyle name="Normal 7 3" xfId="163" xr:uid="{00000000-0005-0000-0000-0000AD000000}"/>
    <cellStyle name="Normal 7 4" xfId="241" xr:uid="{12F8CF62-1841-46DD-9E00-2955B23805C3}"/>
    <cellStyle name="Normal 8" xfId="56" xr:uid="{00000000-0005-0000-0000-0000AE000000}"/>
    <cellStyle name="Normal 8 2" xfId="164" xr:uid="{00000000-0005-0000-0000-0000AF000000}"/>
    <cellStyle name="Normal 8 3" xfId="242" xr:uid="{EA210478-968F-4FB1-A1B1-AADA9AD1A011}"/>
    <cellStyle name="Normal 9" xfId="59" xr:uid="{00000000-0005-0000-0000-0000B0000000}"/>
    <cellStyle name="Normal 9 2" xfId="166" xr:uid="{00000000-0005-0000-0000-0000B1000000}"/>
    <cellStyle name="Normal 9 3" xfId="165" xr:uid="{00000000-0005-0000-0000-0000B2000000}"/>
    <cellStyle name="Normal 9_BieuHD2016-2020Tquang2(OK)" xfId="167" xr:uid="{00000000-0005-0000-0000-0000B3000000}"/>
    <cellStyle name="Normal_Bieu mau (CV )" xfId="57" xr:uid="{00000000-0005-0000-0000-0000B4000000}"/>
    <cellStyle name="Normal_Sheet1" xfId="5" xr:uid="{00000000-0005-0000-0000-0000B5000000}"/>
    <cellStyle name="Normal1" xfId="168" xr:uid="{00000000-0005-0000-0000-0000B6000000}"/>
    <cellStyle name="Normale_ PESO ELETTR." xfId="169" xr:uid="{00000000-0005-0000-0000-0000B7000000}"/>
    <cellStyle name="Note 2" xfId="51" xr:uid="{00000000-0005-0000-0000-0000B8000000}"/>
    <cellStyle name="Œ…‹æØ‚è [0.00]_laroux" xfId="170" xr:uid="{00000000-0005-0000-0000-0000B9000000}"/>
    <cellStyle name="Œ…‹æØ‚è_laroux" xfId="171" xr:uid="{00000000-0005-0000-0000-0000BA000000}"/>
    <cellStyle name="oft Excel]_x000d__x000a_Comment=The open=/f lines load custom functions into the Paste Function list._x000d__x000a_Maximized=2_x000d__x000a_Basics=1_x000d__x000a_A" xfId="172" xr:uid="{00000000-0005-0000-0000-0000BB000000}"/>
    <cellStyle name="oft Excel]_x000d__x000a_Comment=The open=/f lines load custom functions into the Paste Function list._x000d__x000a_Maximized=3_x000d__x000a_Basics=1_x000d__x000a_A" xfId="173" xr:uid="{00000000-0005-0000-0000-0000BC000000}"/>
    <cellStyle name="omma [0]_Mktg Prog" xfId="174" xr:uid="{00000000-0005-0000-0000-0000BD000000}"/>
    <cellStyle name="ormal_Sheet1_1" xfId="175" xr:uid="{00000000-0005-0000-0000-0000BE000000}"/>
    <cellStyle name="Output 2" xfId="52" xr:uid="{00000000-0005-0000-0000-0000BF000000}"/>
    <cellStyle name="Percent [2]" xfId="176" xr:uid="{00000000-0005-0000-0000-0000C0000000}"/>
    <cellStyle name="Percent 2" xfId="13" xr:uid="{00000000-0005-0000-0000-0000C1000000}"/>
    <cellStyle name="Percent 2 2" xfId="177" xr:uid="{00000000-0005-0000-0000-0000C2000000}"/>
    <cellStyle name="Percent 3" xfId="178" xr:uid="{00000000-0005-0000-0000-0000C3000000}"/>
    <cellStyle name="RowLevel_0" xfId="10" xr:uid="{00000000-0005-0000-0000-0000C4000000}"/>
    <cellStyle name="s]_x000d__x000a_spooler=yes_x000d__x000a_load=_x000d__x000a_Beep=yes_x000d__x000a_NullPort=None_x000d__x000a_BorderWidth=3_x000d__x000a_CursorBlinkRate=1200_x000d__x000a_DoubleClickSpeed=452_x000d__x000a_Programs=co" xfId="179" xr:uid="{00000000-0005-0000-0000-0000C5000000}"/>
    <cellStyle name="style" xfId="180" xr:uid="{00000000-0005-0000-0000-0000C6000000}"/>
    <cellStyle name="Style 1" xfId="181" xr:uid="{00000000-0005-0000-0000-0000C7000000}"/>
    <cellStyle name="subhead" xfId="182" xr:uid="{00000000-0005-0000-0000-0000C8000000}"/>
    <cellStyle name="T" xfId="183" xr:uid="{00000000-0005-0000-0000-0000C9000000}"/>
    <cellStyle name="Title 2" xfId="53" xr:uid="{00000000-0005-0000-0000-0000CA000000}"/>
    <cellStyle name="Tong so" xfId="233" xr:uid="{00000000-0005-0000-0000-0000CB000000}"/>
    <cellStyle name="tong so 1" xfId="234" xr:uid="{00000000-0005-0000-0000-0000CC000000}"/>
    <cellStyle name="Total 2" xfId="54" xr:uid="{00000000-0005-0000-0000-0000CD000000}"/>
    <cellStyle name="th" xfId="184" xr:uid="{00000000-0005-0000-0000-0000CE000000}"/>
    <cellStyle name="þ_x001d_ð·_x000c_æþ'_x000d_ßþU_x0001_Ø_x0005_ü_x0014__x0007__x0001__x0001_" xfId="185" xr:uid="{00000000-0005-0000-0000-0000CF000000}"/>
    <cellStyle name="þ_x001d_ðÇ%Uý—&amp;Hý9_x0008_Ÿ_x0009_s_x000a__x0007__x0001__x0001_" xfId="186" xr:uid="{00000000-0005-0000-0000-0000D0000000}"/>
    <cellStyle name="Valuta (0)_CALPREZZ" xfId="187" xr:uid="{00000000-0005-0000-0000-0000D1000000}"/>
    <cellStyle name="Valuta_ PESO ELETTR." xfId="188" xr:uid="{00000000-0005-0000-0000-0000D2000000}"/>
    <cellStyle name="viet" xfId="189" xr:uid="{00000000-0005-0000-0000-0000D3000000}"/>
    <cellStyle name="viet2" xfId="190" xr:uid="{00000000-0005-0000-0000-0000D4000000}"/>
    <cellStyle name="Währung [0]_UXO VII" xfId="191" xr:uid="{00000000-0005-0000-0000-0000D5000000}"/>
    <cellStyle name="Währung_UXO VII" xfId="192" xr:uid="{00000000-0005-0000-0000-0000D6000000}"/>
    <cellStyle name="Warning Text 2" xfId="55" xr:uid="{00000000-0005-0000-0000-0000D7000000}"/>
    <cellStyle name="xuan" xfId="193" xr:uid="{00000000-0005-0000-0000-0000D8000000}"/>
    <cellStyle name=" [0.00]_ Att. 1- Cover" xfId="194" xr:uid="{00000000-0005-0000-0000-0000D9000000}"/>
    <cellStyle name="_ Att. 1- Cover" xfId="195" xr:uid="{00000000-0005-0000-0000-0000DA000000}"/>
    <cellStyle name="?_ Att. 1- Cover" xfId="196" xr:uid="{00000000-0005-0000-0000-0000DB000000}"/>
    <cellStyle name="똿뗦먛귟 [0.00]_PRODUCT DETAIL Q1" xfId="197" xr:uid="{00000000-0005-0000-0000-0000DC000000}"/>
    <cellStyle name="똿뗦먛귟_PRODUCT DETAIL Q1" xfId="198" xr:uid="{00000000-0005-0000-0000-0000DD000000}"/>
    <cellStyle name="믅됞 [0.00]_PRODUCT DETAIL Q1" xfId="199" xr:uid="{00000000-0005-0000-0000-0000DE000000}"/>
    <cellStyle name="믅됞_PRODUCT DETAIL Q1" xfId="200" xr:uid="{00000000-0005-0000-0000-0000DF000000}"/>
    <cellStyle name="백분율_95" xfId="201" xr:uid="{00000000-0005-0000-0000-0000E0000000}"/>
    <cellStyle name="뷭?_BOOKSHIP" xfId="202" xr:uid="{00000000-0005-0000-0000-0000E1000000}"/>
    <cellStyle name="안건회계법인" xfId="203" xr:uid="{00000000-0005-0000-0000-0000E2000000}"/>
    <cellStyle name="콤마 [0]_ 비목별 월별기술 " xfId="204" xr:uid="{00000000-0005-0000-0000-0000E3000000}"/>
    <cellStyle name="콤마_ 비목별 월별기술 " xfId="205" xr:uid="{00000000-0005-0000-0000-0000E4000000}"/>
    <cellStyle name="통화 [0]_1202" xfId="206" xr:uid="{00000000-0005-0000-0000-0000E5000000}"/>
    <cellStyle name="통화_1202" xfId="207" xr:uid="{00000000-0005-0000-0000-0000E6000000}"/>
    <cellStyle name="표준_(정보부문)월별인원계획" xfId="208" xr:uid="{00000000-0005-0000-0000-0000E7000000}"/>
    <cellStyle name="一般_00Q3902REV.1" xfId="209" xr:uid="{00000000-0005-0000-0000-0000E8000000}"/>
    <cellStyle name="千分位[0]_00Q3902REV.1" xfId="210" xr:uid="{00000000-0005-0000-0000-0000E9000000}"/>
    <cellStyle name="千分位_00Q3902REV.1" xfId="211" xr:uid="{00000000-0005-0000-0000-0000EA000000}"/>
    <cellStyle name="桁区切り_NADUONG BQ (Draft)" xfId="212" xr:uid="{00000000-0005-0000-0000-0000EB000000}"/>
    <cellStyle name="標準_BQ（業者）" xfId="213" xr:uid="{00000000-0005-0000-0000-0000EC000000}"/>
    <cellStyle name="貨幣 [0]_00Q3902REV.1" xfId="214" xr:uid="{00000000-0005-0000-0000-0000ED000000}"/>
    <cellStyle name="貨幣[0]_BRE" xfId="215" xr:uid="{00000000-0005-0000-0000-0000EE000000}"/>
    <cellStyle name="貨幣_00Q3902REV.1" xfId="216" xr:uid="{00000000-0005-0000-0000-0000EF000000}"/>
    <cellStyle name="通貨_MITSUI1_BQ" xfId="217" xr:uid="{00000000-0005-0000-0000-0000F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96425" y="89896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36405" y="683695"/>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2</xdr:col>
      <xdr:colOff>0</xdr:colOff>
      <xdr:row>74</xdr:row>
      <xdr:rowOff>0</xdr:rowOff>
    </xdr:from>
    <xdr:to>
      <xdr:col>2</xdr:col>
      <xdr:colOff>304800</xdr:colOff>
      <xdr:row>74</xdr:row>
      <xdr:rowOff>308882</xdr:rowOff>
    </xdr:to>
    <xdr:sp macro="" textlink="">
      <xdr:nvSpPr>
        <xdr:cNvPr id="5122" name="AutoShape 2">
          <a:extLst>
            <a:ext uri="{FF2B5EF4-FFF2-40B4-BE49-F238E27FC236}">
              <a16:creationId xmlns:a16="http://schemas.microsoft.com/office/drawing/2014/main" id="{7879888E-C989-2B9F-99C7-58A7CF7718DD}"/>
            </a:ext>
          </a:extLst>
        </xdr:cNvPr>
        <xdr:cNvSpPr>
          <a:spLocks noChangeAspect="1" noChangeArrowheads="1"/>
        </xdr:cNvSpPr>
      </xdr:nvSpPr>
      <xdr:spPr bwMode="auto">
        <a:xfrm>
          <a:off x="3657600" y="40302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51119EB4-4E95-4749-9B23-52CDE3991F57}"/>
            </a:ext>
          </a:extLst>
        </xdr:cNvPr>
        <xdr:cNvSpPr txBox="1"/>
      </xdr:nvSpPr>
      <xdr:spPr>
        <a:xfrm>
          <a:off x="2519285" y="92182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5C3B625D-7FA2-4D69-95D8-68E34A590F90}"/>
            </a:ext>
          </a:extLst>
        </xdr:cNvPr>
        <xdr:cNvSpPr txBox="1"/>
      </xdr:nvSpPr>
      <xdr:spPr>
        <a:xfrm>
          <a:off x="2519285" y="92182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23AB2941-537D-42E3-A8CD-B8A7C999183C}"/>
            </a:ext>
          </a:extLst>
        </xdr:cNvPr>
        <xdr:cNvSpPr txBox="1"/>
      </xdr:nvSpPr>
      <xdr:spPr>
        <a:xfrm>
          <a:off x="2694545" y="92182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71CE3C9D-026F-4994-A34F-3AA6BB784D6F}"/>
            </a:ext>
          </a:extLst>
        </xdr:cNvPr>
        <xdr:cNvSpPr txBox="1"/>
      </xdr:nvSpPr>
      <xdr:spPr>
        <a:xfrm>
          <a:off x="2664065" y="72370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2069705</xdr:colOff>
      <xdr:row>3</xdr:row>
      <xdr:rowOff>83620</xdr:rowOff>
    </xdr:from>
    <xdr:ext cx="184731" cy="287367"/>
    <xdr:sp macro="" textlink="">
      <xdr:nvSpPr>
        <xdr:cNvPr id="2" name="TextBox 1">
          <a:extLst>
            <a:ext uri="{FF2B5EF4-FFF2-40B4-BE49-F238E27FC236}">
              <a16:creationId xmlns:a16="http://schemas.microsoft.com/office/drawing/2014/main" id="{87B335A4-57F9-45BF-BB5E-9BF875873FCE}"/>
            </a:ext>
          </a:extLst>
        </xdr:cNvPr>
        <xdr:cNvSpPr txBox="1"/>
      </xdr:nvSpPr>
      <xdr:spPr>
        <a:xfrm>
          <a:off x="2450705" y="457000"/>
          <a:ext cx="184731" cy="2873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HOAI\9%20XDCB\NAM%202023\BC%20XDCB%20N&#258;M%202023\9%20thang\GIAI%20NGAN%20THEO%20CHU%20DAU%20TU.xlsx" TargetMode="External"/><Relationship Id="rId1" Type="http://schemas.openxmlformats.org/officeDocument/2006/relationships/externalLinkPath" Target="/HOAI/9%20XDCB/NAM%202023/BC%20XDCB%20N&#258;M%202023/9%20thang/GIAI%20NGAN%20THEO%20CHU%20DAU%20T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XEP THEO CĐT 2022"/>
      <sheetName val="XEP THEO CĐT 2023"/>
      <sheetName val="TOM TAT"/>
      <sheetName val="KH 2023"/>
      <sheetName val="VON 22 KEO DAI 23"/>
      <sheetName val="CT MTQG 2023"/>
      <sheetName val="LUT BAO"/>
      <sheetName val="BAN QLDA 2023"/>
      <sheetName val="HUONG HIEP"/>
      <sheetName val="thi trấn"/>
      <sheetName val="BA LONG"/>
      <sheetName val="TRIEU NGUYEN"/>
      <sheetName val="mo ó"/>
      <sheetName val="DAKRONG"/>
      <sheetName val="BA NANG"/>
      <sheetName val="Sheet2"/>
      <sheetName val="von bao lut"/>
      <sheetName val="dau dat"/>
      <sheetName val="gian ngan cham"/>
      <sheetName val="sheer4"/>
      <sheetName val="Sheet1"/>
    </sheetNames>
    <sheetDataSet>
      <sheetData sheetId="0">
        <row r="5">
          <cell r="C5">
            <v>119582.47199999999</v>
          </cell>
          <cell r="D5">
            <v>78091.987700000012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X52"/>
  <sheetViews>
    <sheetView tabSelected="1" zoomScale="80" zoomScaleNormal="80" zoomScaleSheetLayoutView="100" workbookViewId="0">
      <pane xSplit="2" ySplit="9" topLeftCell="C10" activePane="bottomRight" state="frozen"/>
      <selection pane="topRight" activeCell="C1" sqref="C1"/>
      <selection pane="bottomLeft" activeCell="A10" sqref="A10"/>
      <selection pane="bottomRight" activeCell="L1" sqref="L1:M1048576"/>
    </sheetView>
  </sheetViews>
  <sheetFormatPr defaultColWidth="8.6640625" defaultRowHeight="15.6"/>
  <cols>
    <col min="1" max="1" width="5.5546875" style="179" customWidth="1"/>
    <col min="2" max="2" width="41.33203125" style="524" customWidth="1"/>
    <col min="3" max="3" width="15.77734375" style="23" customWidth="1"/>
    <col min="4" max="4" width="17.5546875" style="23" customWidth="1"/>
    <col min="5" max="5" width="15.88671875" style="23" customWidth="1"/>
    <col min="6" max="6" width="18" style="23" customWidth="1"/>
    <col min="7" max="7" width="14.6640625" style="98" customWidth="1"/>
    <col min="8" max="10" width="15.109375" style="23" customWidth="1"/>
    <col min="11" max="11" width="17" style="587" customWidth="1"/>
    <col min="12" max="12" width="30.33203125" style="4" hidden="1" customWidth="1"/>
    <col min="13" max="13" width="15.77734375" style="4" hidden="1" customWidth="1"/>
    <col min="14" max="18" width="30.33203125" style="4" customWidth="1"/>
    <col min="19" max="19" width="14.33203125" style="4" customWidth="1"/>
    <col min="20" max="20" width="42.5546875" style="4" hidden="1" customWidth="1"/>
    <col min="21" max="22" width="0" style="4" hidden="1" customWidth="1"/>
    <col min="23" max="23" width="42.5546875" style="4" hidden="1" customWidth="1"/>
    <col min="24" max="24" width="14.44140625" style="4" bestFit="1" customWidth="1"/>
    <col min="25" max="25" width="8.6640625" style="4"/>
    <col min="26" max="26" width="17.44140625" style="4" customWidth="1"/>
    <col min="27" max="16384" width="8.6640625" style="4"/>
  </cols>
  <sheetData>
    <row r="1" spans="1:24" ht="4.95" customHeight="1">
      <c r="A1" s="799" t="s">
        <v>583</v>
      </c>
      <c r="B1" s="799"/>
      <c r="C1" s="799"/>
      <c r="D1" s="799"/>
      <c r="E1" s="799"/>
      <c r="F1" s="799"/>
      <c r="G1" s="799"/>
      <c r="H1" s="799"/>
      <c r="I1" s="799"/>
      <c r="J1" s="799"/>
      <c r="K1" s="799"/>
      <c r="L1" s="13"/>
      <c r="M1" s="13"/>
      <c r="N1" s="13"/>
      <c r="O1" s="13"/>
      <c r="P1" s="13"/>
      <c r="Q1" s="13"/>
      <c r="R1" s="13"/>
    </row>
    <row r="2" spans="1:24" ht="18.600000000000001" customHeight="1">
      <c r="A2" s="799"/>
      <c r="B2" s="799"/>
      <c r="C2" s="799"/>
      <c r="D2" s="799"/>
      <c r="E2" s="799"/>
      <c r="F2" s="799"/>
      <c r="G2" s="799"/>
      <c r="H2" s="799"/>
      <c r="I2" s="799"/>
      <c r="J2" s="799"/>
      <c r="K2" s="799"/>
      <c r="L2" s="13"/>
      <c r="M2" s="13"/>
      <c r="N2" s="13"/>
      <c r="O2" s="13"/>
      <c r="P2" s="13"/>
      <c r="Q2" s="13"/>
      <c r="R2" s="13"/>
    </row>
    <row r="3" spans="1:24" ht="6" customHeight="1">
      <c r="A3" s="23"/>
      <c r="B3" s="23"/>
      <c r="G3" s="23"/>
      <c r="K3" s="23"/>
      <c r="L3" s="13"/>
      <c r="M3" s="13"/>
      <c r="N3" s="13"/>
      <c r="O3" s="13"/>
      <c r="P3" s="13"/>
      <c r="Q3" s="13"/>
      <c r="R3" s="13"/>
    </row>
    <row r="4" spans="1:24" ht="19.2" customHeight="1">
      <c r="A4" s="2"/>
      <c r="B4" s="3"/>
      <c r="C4" s="524"/>
      <c r="D4" s="104"/>
      <c r="E4" s="104"/>
      <c r="F4" s="104"/>
      <c r="G4" s="597"/>
      <c r="H4" s="806" t="s">
        <v>6</v>
      </c>
      <c r="I4" s="806"/>
      <c r="J4" s="806"/>
      <c r="K4" s="806"/>
      <c r="L4" s="13"/>
      <c r="M4" s="13"/>
      <c r="N4" s="13"/>
      <c r="O4" s="13"/>
      <c r="P4" s="13"/>
      <c r="Q4" s="13"/>
      <c r="R4" s="13"/>
    </row>
    <row r="5" spans="1:24" s="11" customFormat="1" ht="16.8" customHeight="1">
      <c r="A5" s="803" t="s">
        <v>0</v>
      </c>
      <c r="B5" s="803" t="s">
        <v>1</v>
      </c>
      <c r="C5" s="804" t="s">
        <v>3</v>
      </c>
      <c r="D5" s="804" t="s">
        <v>28</v>
      </c>
      <c r="E5" s="804"/>
      <c r="F5" s="798" t="s">
        <v>631</v>
      </c>
      <c r="G5" s="805" t="s">
        <v>632</v>
      </c>
      <c r="H5" s="798" t="s">
        <v>633</v>
      </c>
      <c r="I5" s="798" t="s">
        <v>411</v>
      </c>
      <c r="J5" s="798" t="s">
        <v>552</v>
      </c>
      <c r="K5" s="798" t="s">
        <v>2</v>
      </c>
      <c r="L5" s="800" t="s">
        <v>27</v>
      </c>
      <c r="M5" s="15"/>
      <c r="N5" s="15"/>
      <c r="O5" s="15"/>
      <c r="P5" s="15"/>
      <c r="Q5" s="15"/>
      <c r="R5" s="15"/>
    </row>
    <row r="6" spans="1:24" s="11" customFormat="1" ht="2.4" customHeight="1">
      <c r="A6" s="803"/>
      <c r="B6" s="803"/>
      <c r="C6" s="804"/>
      <c r="D6" s="804"/>
      <c r="E6" s="804"/>
      <c r="F6" s="798"/>
      <c r="G6" s="805"/>
      <c r="H6" s="798"/>
      <c r="I6" s="798"/>
      <c r="J6" s="798"/>
      <c r="K6" s="798"/>
      <c r="L6" s="801"/>
      <c r="M6" s="15"/>
      <c r="N6" s="15"/>
      <c r="O6" s="15"/>
      <c r="P6" s="15"/>
      <c r="Q6" s="15"/>
      <c r="R6" s="15"/>
    </row>
    <row r="7" spans="1:24" s="11" customFormat="1" ht="43.8" customHeight="1">
      <c r="A7" s="803"/>
      <c r="B7" s="803"/>
      <c r="C7" s="804"/>
      <c r="D7" s="176" t="s">
        <v>332</v>
      </c>
      <c r="E7" s="178" t="s">
        <v>302</v>
      </c>
      <c r="F7" s="798"/>
      <c r="G7" s="805"/>
      <c r="H7" s="798"/>
      <c r="I7" s="798"/>
      <c r="J7" s="798"/>
      <c r="K7" s="798"/>
      <c r="L7" s="802"/>
      <c r="M7" s="698">
        <f>E8-G8</f>
        <v>90863.802961999987</v>
      </c>
      <c r="N7" s="15"/>
      <c r="O7" s="15"/>
      <c r="P7" s="15"/>
      <c r="Q7" s="15"/>
      <c r="R7" s="15"/>
    </row>
    <row r="8" spans="1:24" s="11" customFormat="1" ht="37.200000000000003" customHeight="1">
      <c r="A8" s="110"/>
      <c r="B8" s="110" t="s">
        <v>29</v>
      </c>
      <c r="C8" s="266">
        <f>C9+C24+C35+C28</f>
        <v>1112313.8770000001</v>
      </c>
      <c r="D8" s="266">
        <f>D9+D24+D35+D28</f>
        <v>141209.13099999999</v>
      </c>
      <c r="E8" s="266">
        <f>E9+E24+E35+E28</f>
        <v>308740.47149999999</v>
      </c>
      <c r="F8" s="266">
        <f>F9+F24+F35+F28</f>
        <v>220727.07023800001</v>
      </c>
      <c r="G8" s="266">
        <f>G9+G24+G35+G28</f>
        <v>217876.668538</v>
      </c>
      <c r="H8" s="637">
        <f>G8/E8*100</f>
        <v>70.569519920552437</v>
      </c>
      <c r="I8" s="266">
        <f t="shared" ref="I8" si="0">I9+I24+I35+I28</f>
        <v>289630.81449999998</v>
      </c>
      <c r="J8" s="637">
        <f>I8/E8*100</f>
        <v>93.810446389760088</v>
      </c>
      <c r="K8" s="227" t="s">
        <v>549</v>
      </c>
      <c r="L8" s="306"/>
      <c r="M8" s="15"/>
      <c r="N8" s="15"/>
      <c r="O8" s="15"/>
      <c r="P8" s="785">
        <f>G8/E8*2</f>
        <v>1.4113903984110487</v>
      </c>
      <c r="Q8" s="15"/>
      <c r="R8" s="15"/>
      <c r="T8" s="342">
        <f>E9-E16</f>
        <v>58713</v>
      </c>
      <c r="X8" s="585"/>
    </row>
    <row r="9" spans="1:24" s="307" customFormat="1" ht="32.4" customHeight="1">
      <c r="A9" s="110" t="s">
        <v>13</v>
      </c>
      <c r="B9" s="111" t="s">
        <v>607</v>
      </c>
      <c r="C9" s="112">
        <f>'KH 2023'!E8</f>
        <v>229100</v>
      </c>
      <c r="D9" s="112">
        <f>'KH 2023'!F8</f>
        <v>34310.110999999997</v>
      </c>
      <c r="E9" s="112">
        <f>'KH 2023'!G8</f>
        <v>65663</v>
      </c>
      <c r="F9" s="112">
        <f>'KH 2023'!H8</f>
        <v>32583.113194000001</v>
      </c>
      <c r="G9" s="112">
        <f>'KH 2023'!I8</f>
        <v>32056.209193999999</v>
      </c>
      <c r="H9" s="126">
        <f>'KH 2023'!J8</f>
        <v>48.819288174466593</v>
      </c>
      <c r="I9" s="266">
        <f>'KH 2023'!K8</f>
        <v>50348</v>
      </c>
      <c r="J9" s="126">
        <f>'KH 2023'!L8</f>
        <v>76.676362639538254</v>
      </c>
      <c r="K9" s="526"/>
      <c r="L9" s="37"/>
      <c r="M9" s="621">
        <f>(G9/(E9-E16))*100</f>
        <v>54.598145545279579</v>
      </c>
      <c r="N9" s="140"/>
      <c r="O9" s="140"/>
      <c r="P9" s="140"/>
      <c r="Q9" s="140"/>
      <c r="R9" s="140"/>
      <c r="S9" s="521"/>
      <c r="T9" s="505">
        <f>G9/T8</f>
        <v>0.54598145545279575</v>
      </c>
      <c r="X9" s="527">
        <f>G9/(E9-1000-6800)*100</f>
        <v>55.400185254826049</v>
      </c>
    </row>
    <row r="10" spans="1:24" s="39" customFormat="1" ht="32.4" customHeight="1">
      <c r="A10" s="110" t="s">
        <v>9</v>
      </c>
      <c r="B10" s="111" t="s">
        <v>154</v>
      </c>
      <c r="C10" s="112">
        <f>'KH 2023'!E9</f>
        <v>124300</v>
      </c>
      <c r="D10" s="112">
        <f>'KH 2023'!F9</f>
        <v>12612.534</v>
      </c>
      <c r="E10" s="112">
        <f>'KH 2023'!G9</f>
        <v>27006</v>
      </c>
      <c r="F10" s="112">
        <f>'KH 2023'!H9</f>
        <v>15360.824000000001</v>
      </c>
      <c r="G10" s="112">
        <f>'KH 2023'!I9</f>
        <v>14833.92</v>
      </c>
      <c r="H10" s="126">
        <f>'KH 2023'!J9</f>
        <v>54.928238169295717</v>
      </c>
      <c r="I10" s="266">
        <f>'KH 2023'!K9</f>
        <v>22691</v>
      </c>
      <c r="J10" s="126">
        <f>'KH 2023'!L9</f>
        <v>84.022069169814117</v>
      </c>
      <c r="K10" s="526"/>
      <c r="L10" s="37"/>
      <c r="M10" s="620">
        <f>G10/(E10-E16)</f>
        <v>0.7396250498603909</v>
      </c>
      <c r="N10" s="140"/>
      <c r="O10" s="140"/>
      <c r="P10" s="140"/>
      <c r="Q10" s="140"/>
      <c r="R10" s="140"/>
      <c r="S10" s="308"/>
      <c r="T10" s="342"/>
      <c r="X10" s="529">
        <f>G10/(E10-6800)*100</f>
        <v>73.413441552014262</v>
      </c>
    </row>
    <row r="11" spans="1:24" s="87" customFormat="1" ht="19.95" customHeight="1">
      <c r="A11" s="127">
        <v>1</v>
      </c>
      <c r="B11" s="57" t="s">
        <v>8</v>
      </c>
      <c r="C11" s="48">
        <f>'KH 2023'!E10</f>
        <v>52700</v>
      </c>
      <c r="D11" s="48">
        <f>'KH 2023'!F10</f>
        <v>3244</v>
      </c>
      <c r="E11" s="48">
        <f>'KH 2023'!G10</f>
        <v>11056</v>
      </c>
      <c r="F11" s="48">
        <f>'KH 2023'!H10</f>
        <v>5945.1149999999998</v>
      </c>
      <c r="G11" s="48">
        <f>'KH 2023'!I10</f>
        <v>5418.2110000000002</v>
      </c>
      <c r="H11" s="267">
        <f>'KH 2023'!J10</f>
        <v>49.006973589001454</v>
      </c>
      <c r="I11" s="67">
        <f>'KH 2023'!K10</f>
        <v>11056</v>
      </c>
      <c r="J11" s="267">
        <f>'KH 2023'!L10</f>
        <v>100</v>
      </c>
      <c r="K11" s="116"/>
      <c r="L11" s="113"/>
      <c r="M11" s="17"/>
      <c r="N11" s="17"/>
      <c r="O11" s="17"/>
      <c r="P11" s="17"/>
      <c r="Q11" s="17"/>
      <c r="R11" s="17"/>
      <c r="T11" s="475"/>
    </row>
    <row r="12" spans="1:24" s="87" customFormat="1" ht="19.95" hidden="1" customHeight="1">
      <c r="A12" s="127" t="s">
        <v>35</v>
      </c>
      <c r="B12" s="476" t="s">
        <v>59</v>
      </c>
      <c r="C12" s="48">
        <f>'KH 2023'!E11</f>
        <v>0</v>
      </c>
      <c r="D12" s="48">
        <f>'KH 2023'!F11</f>
        <v>0</v>
      </c>
      <c r="E12" s="48">
        <f>'KH 2023'!G11</f>
        <v>456.57299999999998</v>
      </c>
      <c r="F12" s="48">
        <f>'KH 2023'!H11</f>
        <v>456.57299999999998</v>
      </c>
      <c r="G12" s="48">
        <f>'KH 2023'!I11</f>
        <v>429.66899999999998</v>
      </c>
      <c r="H12" s="267">
        <f>'KH 2023'!J11</f>
        <v>94.107404511436286</v>
      </c>
      <c r="I12" s="67"/>
      <c r="J12" s="481"/>
      <c r="K12" s="116"/>
      <c r="L12" s="113"/>
      <c r="M12" s="17"/>
      <c r="N12" s="17"/>
      <c r="O12" s="17"/>
      <c r="P12" s="17"/>
      <c r="Q12" s="17"/>
      <c r="R12" s="17"/>
      <c r="T12" s="475"/>
    </row>
    <row r="13" spans="1:24" s="87" customFormat="1" ht="19.95" hidden="1" customHeight="1">
      <c r="A13" s="127" t="s">
        <v>35</v>
      </c>
      <c r="B13" s="476" t="s">
        <v>63</v>
      </c>
      <c r="C13" s="48">
        <f>'KH 2023'!E31</f>
        <v>49700</v>
      </c>
      <c r="D13" s="48">
        <f>'KH 2023'!F31</f>
        <v>2344</v>
      </c>
      <c r="E13" s="48">
        <f>'KH 2023'!G31</f>
        <v>9024.2899999999991</v>
      </c>
      <c r="F13" s="48">
        <f>'KH 2023'!H31</f>
        <v>3919.4600000000005</v>
      </c>
      <c r="G13" s="48">
        <f>'KH 2023'!I31</f>
        <v>3419.4600000000005</v>
      </c>
      <c r="H13" s="267">
        <f>'KH 2023'!J31</f>
        <v>37.891734418995853</v>
      </c>
      <c r="I13" s="67"/>
      <c r="J13" s="481"/>
      <c r="K13" s="116"/>
      <c r="L13" s="113"/>
      <c r="M13" s="17"/>
      <c r="N13" s="17"/>
      <c r="O13" s="17"/>
      <c r="P13" s="17"/>
      <c r="Q13" s="17"/>
      <c r="R13" s="17"/>
      <c r="T13" s="475"/>
    </row>
    <row r="14" spans="1:24" s="87" customFormat="1" ht="19.95" hidden="1" customHeight="1">
      <c r="A14" s="477" t="s">
        <v>35</v>
      </c>
      <c r="B14" s="476" t="s">
        <v>10</v>
      </c>
      <c r="C14" s="48">
        <f>'KH 2023'!E27</f>
        <v>1900</v>
      </c>
      <c r="D14" s="48">
        <f>'KH 2023'!F27</f>
        <v>900</v>
      </c>
      <c r="E14" s="48">
        <f>'KH 2023'!G27</f>
        <v>956.80199999999991</v>
      </c>
      <c r="F14" s="48">
        <f>'KH 2023'!H27</f>
        <v>956.80199999999991</v>
      </c>
      <c r="G14" s="48">
        <f>'KH 2023'!I27</f>
        <v>956.80199999999991</v>
      </c>
      <c r="H14" s="267">
        <f>'KH 2023'!J27</f>
        <v>100</v>
      </c>
      <c r="I14" s="67"/>
      <c r="J14" s="481"/>
      <c r="K14" s="116"/>
      <c r="L14" s="113"/>
      <c r="M14" s="17"/>
      <c r="N14" s="17"/>
      <c r="O14" s="17"/>
      <c r="P14" s="17"/>
      <c r="Q14" s="17"/>
      <c r="R14" s="17"/>
      <c r="T14" s="475"/>
    </row>
    <row r="15" spans="1:24" s="87" customFormat="1" ht="19.95" hidden="1" customHeight="1">
      <c r="A15" s="478" t="s">
        <v>35</v>
      </c>
      <c r="B15" s="57" t="s">
        <v>12</v>
      </c>
      <c r="C15" s="48">
        <f>'KH 2023'!E40</f>
        <v>1100</v>
      </c>
      <c r="D15" s="48">
        <f>'KH 2023'!F40</f>
        <v>0</v>
      </c>
      <c r="E15" s="48">
        <f>'KH 2023'!G40</f>
        <v>618.33500000000004</v>
      </c>
      <c r="F15" s="48">
        <f>'KH 2023'!H40</f>
        <v>612.28</v>
      </c>
      <c r="G15" s="48">
        <f>'KH 2023'!I40</f>
        <v>612.28</v>
      </c>
      <c r="H15" s="267">
        <f>'KH 2023'!J40</f>
        <v>99.020757356449167</v>
      </c>
      <c r="I15" s="67"/>
      <c r="J15" s="481"/>
      <c r="K15" s="116"/>
      <c r="L15" s="113"/>
      <c r="M15" s="17"/>
      <c r="N15" s="17"/>
      <c r="O15" s="17"/>
      <c r="P15" s="17"/>
      <c r="Q15" s="17"/>
      <c r="R15" s="17"/>
      <c r="T15" s="475"/>
    </row>
    <row r="16" spans="1:24" s="87" customFormat="1" ht="19.95" customHeight="1">
      <c r="A16" s="127">
        <v>2</v>
      </c>
      <c r="B16" s="57" t="s">
        <v>625</v>
      </c>
      <c r="C16" s="48">
        <f>'KH 2023'!E42</f>
        <v>39500</v>
      </c>
      <c r="D16" s="48">
        <f>'KH 2023'!F42</f>
        <v>8528.5339999999997</v>
      </c>
      <c r="E16" s="48">
        <f>'KH 2023'!G42</f>
        <v>6950</v>
      </c>
      <c r="F16" s="48">
        <f>'KH 2023'!H42</f>
        <v>2634.3780000000002</v>
      </c>
      <c r="G16" s="48">
        <f>'KH 2023'!I42</f>
        <v>2634.3780000000002</v>
      </c>
      <c r="H16" s="267">
        <f>'KH 2023'!J42</f>
        <v>37.904719424460431</v>
      </c>
      <c r="I16" s="67">
        <f>'KH 2023'!K42</f>
        <v>2635</v>
      </c>
      <c r="J16" s="267">
        <f>'KH 2023'!L42</f>
        <v>37.913669064748198</v>
      </c>
      <c r="K16" s="116"/>
      <c r="L16" s="113"/>
      <c r="M16" s="17"/>
      <c r="N16" s="17"/>
      <c r="O16" s="17"/>
      <c r="P16" s="17"/>
      <c r="Q16" s="17"/>
      <c r="R16" s="17"/>
      <c r="T16" s="475"/>
    </row>
    <row r="17" spans="1:24" s="87" customFormat="1" ht="19.95" hidden="1" customHeight="1">
      <c r="A17" s="478" t="s">
        <v>35</v>
      </c>
      <c r="B17" s="57" t="s">
        <v>16</v>
      </c>
      <c r="C17" s="48">
        <f>'KH 2023'!E43</f>
        <v>39000</v>
      </c>
      <c r="D17" s="48">
        <f>'KH 2023'!F43</f>
        <v>8528.5339999999997</v>
      </c>
      <c r="E17" s="48">
        <f>'KH 2023'!G43</f>
        <v>6800</v>
      </c>
      <c r="F17" s="48">
        <f>'KH 2023'!H43</f>
        <v>2484.857</v>
      </c>
      <c r="G17" s="48">
        <f>'KH 2023'!I43</f>
        <v>2484.857</v>
      </c>
      <c r="H17" s="267">
        <f>'KH 2023'!J43</f>
        <v>36.542014705882352</v>
      </c>
      <c r="I17" s="67"/>
      <c r="J17" s="481"/>
      <c r="K17" s="116"/>
      <c r="L17" s="113"/>
      <c r="M17" s="17"/>
      <c r="N17" s="17"/>
      <c r="O17" s="17"/>
      <c r="P17" s="17"/>
      <c r="Q17" s="17"/>
      <c r="R17" s="17"/>
      <c r="T17" s="475"/>
    </row>
    <row r="18" spans="1:24" s="87" customFormat="1" ht="19.95" hidden="1" customHeight="1">
      <c r="A18" s="478" t="s">
        <v>35</v>
      </c>
      <c r="B18" s="57" t="s">
        <v>17</v>
      </c>
      <c r="C18" s="48">
        <f>'KH 2023'!E47</f>
        <v>500</v>
      </c>
      <c r="D18" s="48">
        <f>'KH 2023'!F47</f>
        <v>0</v>
      </c>
      <c r="E18" s="48">
        <f>'KH 2023'!G47</f>
        <v>150</v>
      </c>
      <c r="F18" s="48">
        <f>'KH 2023'!H47</f>
        <v>149.52099999999999</v>
      </c>
      <c r="G18" s="48">
        <f>'KH 2023'!I47</f>
        <v>149.52099999999999</v>
      </c>
      <c r="H18" s="267">
        <f>'KH 2023'!J47</f>
        <v>99.680666666666667</v>
      </c>
      <c r="I18" s="67"/>
      <c r="J18" s="481"/>
      <c r="K18" s="116"/>
      <c r="L18" s="113"/>
      <c r="M18" s="17"/>
      <c r="N18" s="17"/>
      <c r="O18" s="17"/>
      <c r="P18" s="17"/>
      <c r="Q18" s="17"/>
      <c r="R18" s="17"/>
      <c r="T18" s="475"/>
    </row>
    <row r="19" spans="1:24" s="87" customFormat="1" ht="19.95" customHeight="1">
      <c r="A19" s="127">
        <v>3</v>
      </c>
      <c r="B19" s="57" t="s">
        <v>161</v>
      </c>
      <c r="C19" s="77">
        <f>'KH 2023'!E49</f>
        <v>32100</v>
      </c>
      <c r="D19" s="77">
        <f>'KH 2023'!F49</f>
        <v>840</v>
      </c>
      <c r="E19" s="77">
        <f>'KH 2023'!G49</f>
        <v>9000</v>
      </c>
      <c r="F19" s="77">
        <f>'KH 2023'!H49</f>
        <v>6781.3310000000001</v>
      </c>
      <c r="G19" s="77">
        <f>'KH 2023'!I49</f>
        <v>6781.3310000000001</v>
      </c>
      <c r="H19" s="268">
        <f>'KH 2023'!J49</f>
        <v>75.34812222222223</v>
      </c>
      <c r="I19" s="64">
        <f>'KH 2023'!K49</f>
        <v>9000</v>
      </c>
      <c r="J19" s="268">
        <f>'KH 2023'!L49</f>
        <v>100</v>
      </c>
      <c r="K19" s="75"/>
      <c r="L19" s="113"/>
      <c r="M19" s="17"/>
      <c r="N19" s="17"/>
      <c r="O19" s="17"/>
      <c r="P19" s="17"/>
      <c r="Q19" s="17"/>
      <c r="R19" s="17"/>
      <c r="T19" s="475"/>
    </row>
    <row r="20" spans="1:24" s="92" customFormat="1" ht="19.95" hidden="1" customHeight="1">
      <c r="A20" s="115">
        <v>4</v>
      </c>
      <c r="B20" s="57" t="s">
        <v>41</v>
      </c>
      <c r="C20" s="48">
        <f>'KH 2023'!E58</f>
        <v>0</v>
      </c>
      <c r="D20" s="48">
        <f>'KH 2023'!F58</f>
        <v>0</v>
      </c>
      <c r="E20" s="48">
        <f>'KH 2023'!G58</f>
        <v>0</v>
      </c>
      <c r="F20" s="48">
        <f>'KH 2023'!H58</f>
        <v>0</v>
      </c>
      <c r="G20" s="48">
        <f>'KH 2023'!I58</f>
        <v>0</v>
      </c>
      <c r="H20" s="267" t="e">
        <f>'KH 2023'!J58</f>
        <v>#DIV/0!</v>
      </c>
      <c r="I20" s="67"/>
      <c r="J20" s="481"/>
      <c r="K20" s="116"/>
      <c r="L20" s="243"/>
      <c r="M20" s="14"/>
      <c r="N20" s="14"/>
      <c r="O20" s="14"/>
      <c r="P20" s="14"/>
      <c r="Q20" s="14"/>
      <c r="R20" s="14"/>
      <c r="T20" s="342"/>
    </row>
    <row r="21" spans="1:24" s="310" customFormat="1" ht="19.95" hidden="1" customHeight="1">
      <c r="A21" s="724">
        <v>5</v>
      </c>
      <c r="B21" s="146" t="s">
        <v>55</v>
      </c>
      <c r="C21" s="40">
        <f>'KH 2023'!E61</f>
        <v>0</v>
      </c>
      <c r="D21" s="40">
        <f>'KH 2023'!F61</f>
        <v>0</v>
      </c>
      <c r="E21" s="40">
        <f>'KH 2023'!G61</f>
        <v>0</v>
      </c>
      <c r="F21" s="40">
        <f>'KH 2023'!H61</f>
        <v>0</v>
      </c>
      <c r="G21" s="40">
        <f>'KH 2023'!I61</f>
        <v>0</v>
      </c>
      <c r="H21" s="638" t="e">
        <f>'KH 2023'!J61</f>
        <v>#DIV/0!</v>
      </c>
      <c r="I21" s="161"/>
      <c r="J21" s="725"/>
      <c r="K21" s="154"/>
      <c r="L21" s="309"/>
      <c r="M21" s="44"/>
      <c r="N21" s="44"/>
      <c r="O21" s="44"/>
      <c r="P21" s="44"/>
      <c r="Q21" s="44"/>
      <c r="R21" s="44"/>
      <c r="T21" s="342"/>
    </row>
    <row r="22" spans="1:24" s="16" customFormat="1" ht="31.2" customHeight="1">
      <c r="A22" s="117" t="s">
        <v>14</v>
      </c>
      <c r="B22" s="125" t="s">
        <v>153</v>
      </c>
      <c r="C22" s="62">
        <f>'KH 2023'!E64</f>
        <v>87900</v>
      </c>
      <c r="D22" s="62">
        <f>'KH 2023'!F64</f>
        <v>19000</v>
      </c>
      <c r="E22" s="62">
        <f>'KH 2023'!G64</f>
        <v>20000</v>
      </c>
      <c r="F22" s="62">
        <f>'KH 2023'!H64</f>
        <v>12710.078</v>
      </c>
      <c r="G22" s="62">
        <f>'KH 2023'!I64</f>
        <v>12710.078</v>
      </c>
      <c r="H22" s="229">
        <f>'KH 2023'!J64</f>
        <v>63.55039</v>
      </c>
      <c r="I22" s="673">
        <f>'KH 2023'!K64</f>
        <v>16000</v>
      </c>
      <c r="J22" s="229">
        <f>'KH 2023'!L64</f>
        <v>80</v>
      </c>
      <c r="K22" s="526"/>
      <c r="L22" s="128"/>
      <c r="M22" s="620">
        <f>G22/(E22-0)</f>
        <v>0.63550390000000001</v>
      </c>
      <c r="N22" s="138"/>
      <c r="O22" s="138"/>
      <c r="P22" s="138"/>
      <c r="Q22" s="138"/>
      <c r="R22" s="138"/>
      <c r="S22" s="133"/>
      <c r="T22" s="342"/>
      <c r="X22" s="528">
        <f>G22/(E22-1000)*100</f>
        <v>66.89514736842105</v>
      </c>
    </row>
    <row r="23" spans="1:24" s="16" customFormat="1" ht="25.2" customHeight="1">
      <c r="A23" s="117" t="s">
        <v>299</v>
      </c>
      <c r="B23" s="125" t="s">
        <v>22</v>
      </c>
      <c r="C23" s="62">
        <f>'KH 2023'!E75</f>
        <v>16900</v>
      </c>
      <c r="D23" s="62">
        <f>'KH 2023'!F75</f>
        <v>2697.5770000000002</v>
      </c>
      <c r="E23" s="62">
        <f>'KH 2023'!G75</f>
        <v>18657</v>
      </c>
      <c r="F23" s="62">
        <f>'KH 2023'!H75</f>
        <v>4512.2111939999995</v>
      </c>
      <c r="G23" s="62">
        <f>'KH 2023'!I75</f>
        <v>4512.2111939999995</v>
      </c>
      <c r="H23" s="229">
        <f>'KH 2023'!J75</f>
        <v>24.185084386557321</v>
      </c>
      <c r="I23" s="673">
        <f>'KH 2023'!K75</f>
        <v>11657</v>
      </c>
      <c r="J23" s="229">
        <f>'KH 2023'!L75</f>
        <v>62.480570295331503</v>
      </c>
      <c r="K23" s="109"/>
      <c r="L23" s="128"/>
      <c r="M23" s="138"/>
      <c r="N23" s="138"/>
      <c r="O23" s="138"/>
      <c r="P23" s="138"/>
      <c r="Q23" s="138"/>
      <c r="R23" s="138">
        <f>6/27</f>
        <v>0.22222222222222221</v>
      </c>
      <c r="S23" s="133"/>
      <c r="T23" s="342"/>
    </row>
    <row r="24" spans="1:24" s="138" customFormat="1" ht="24" customHeight="1">
      <c r="A24" s="117" t="s">
        <v>23</v>
      </c>
      <c r="B24" s="125" t="s">
        <v>334</v>
      </c>
      <c r="C24" s="62">
        <f>'CT MTQG 2023'!E9</f>
        <v>464298.63099999999</v>
      </c>
      <c r="D24" s="62">
        <f>'CT MTQG 2023'!G9</f>
        <v>105699.01999999999</v>
      </c>
      <c r="E24" s="229">
        <f>'CT MTQG 2023'!H9</f>
        <v>117495</v>
      </c>
      <c r="F24" s="229">
        <f>'CT MTQG 2023'!I9</f>
        <v>81555.288364000007</v>
      </c>
      <c r="G24" s="229">
        <f>'CT MTQG 2023'!J9</f>
        <v>81148.890364000006</v>
      </c>
      <c r="H24" s="229">
        <f>'CT MTQG 2023'!K9</f>
        <v>69.065824387420747</v>
      </c>
      <c r="I24" s="673">
        <f>'CT MTQG 2023'!L9</f>
        <v>115265</v>
      </c>
      <c r="J24" s="229">
        <f>'CT MTQG 2023'!M9</f>
        <v>98.102046895612588</v>
      </c>
      <c r="K24" s="109"/>
      <c r="L24" s="128"/>
      <c r="M24" s="635"/>
      <c r="R24" s="138">
        <f>27*0.3</f>
        <v>8.1</v>
      </c>
      <c r="T24" s="453"/>
    </row>
    <row r="25" spans="1:24" s="17" customFormat="1" ht="21.6" customHeight="1">
      <c r="A25" s="127" t="s">
        <v>9</v>
      </c>
      <c r="B25" s="58" t="s">
        <v>333</v>
      </c>
      <c r="C25" s="48">
        <f>'CT MTQG 2023'!E10</f>
        <v>5941.3600000000006</v>
      </c>
      <c r="D25" s="48">
        <f>'CT MTQG 2023'!G10</f>
        <v>1268.06</v>
      </c>
      <c r="E25" s="48">
        <f>'CT MTQG 2023'!H10</f>
        <v>2250</v>
      </c>
      <c r="F25" s="48">
        <f>'CT MTQG 2023'!I10</f>
        <v>1831.9400949999999</v>
      </c>
      <c r="G25" s="48">
        <f>'CT MTQG 2023'!J10</f>
        <v>1831.9400949999999</v>
      </c>
      <c r="H25" s="267">
        <f>'CT MTQG 2023'!K10</f>
        <v>81.419559777777778</v>
      </c>
      <c r="I25" s="67">
        <f>'CT MTQG 2023'!L10</f>
        <v>2250</v>
      </c>
      <c r="J25" s="267">
        <f>'CT MTQG 2023'!M10</f>
        <v>100</v>
      </c>
      <c r="K25" s="116"/>
      <c r="M25" s="634"/>
      <c r="T25" s="453"/>
    </row>
    <row r="26" spans="1:24" s="17" customFormat="1" ht="21.6" customHeight="1">
      <c r="A26" s="56" t="s">
        <v>14</v>
      </c>
      <c r="B26" s="58" t="s">
        <v>166</v>
      </c>
      <c r="C26" s="48">
        <f>'CT MTQG 2023'!E23</f>
        <v>167244.78899999999</v>
      </c>
      <c r="D26" s="48">
        <f>'CT MTQG 2023'!G23</f>
        <v>64384</v>
      </c>
      <c r="E26" s="48">
        <f>'CT MTQG 2023'!H23</f>
        <v>41166</v>
      </c>
      <c r="F26" s="48">
        <f>'CT MTQG 2023'!I23</f>
        <v>32590.019699999997</v>
      </c>
      <c r="G26" s="48">
        <f>'CT MTQG 2023'!J23</f>
        <v>32568.8197</v>
      </c>
      <c r="H26" s="267">
        <f>'CT MTQG 2023'!K23</f>
        <v>79.115823009279509</v>
      </c>
      <c r="I26" s="67">
        <f>'CT MTQG 2023'!L23</f>
        <v>41166</v>
      </c>
      <c r="J26" s="267">
        <f>'CT MTQG 2023'!M23</f>
        <v>100</v>
      </c>
      <c r="K26" s="116"/>
      <c r="M26" s="634"/>
      <c r="T26" s="453"/>
    </row>
    <row r="27" spans="1:24" s="17" customFormat="1" ht="38.4" customHeight="1">
      <c r="A27" s="56" t="s">
        <v>15</v>
      </c>
      <c r="B27" s="58" t="s">
        <v>167</v>
      </c>
      <c r="C27" s="48">
        <f>'CT MTQG 2023'!E90</f>
        <v>291112.48200000002</v>
      </c>
      <c r="D27" s="48">
        <f>'CT MTQG 2023'!G90</f>
        <v>40046.959999999999</v>
      </c>
      <c r="E27" s="48">
        <f>'CT MTQG 2023'!H90</f>
        <v>74079</v>
      </c>
      <c r="F27" s="48">
        <f>'CT MTQG 2023'!I90</f>
        <v>47133.328569000005</v>
      </c>
      <c r="G27" s="48">
        <f>'CT MTQG 2023'!J90</f>
        <v>46748.130569000008</v>
      </c>
      <c r="H27" s="267">
        <f>'CT MTQG 2023'!K90</f>
        <v>63.105779733797718</v>
      </c>
      <c r="I27" s="67">
        <f>'CT MTQG 2023'!L90</f>
        <v>71849</v>
      </c>
      <c r="J27" s="267">
        <f>'CT MTQG 2023'!M90</f>
        <v>96.989700184937703</v>
      </c>
      <c r="K27" s="116"/>
      <c r="M27" s="634"/>
      <c r="T27" s="453"/>
    </row>
    <row r="28" spans="1:24" s="455" customFormat="1" ht="25.2" customHeight="1">
      <c r="A28" s="726" t="s">
        <v>20</v>
      </c>
      <c r="B28" s="727" t="s">
        <v>556</v>
      </c>
      <c r="C28" s="62">
        <f>'VON 22 KEO DAI 23'!E8</f>
        <v>412315.24600000004</v>
      </c>
      <c r="D28" s="62">
        <f t="shared" ref="D28" si="1">D29+D33+D34</f>
        <v>1200</v>
      </c>
      <c r="E28" s="62">
        <f>'VON 22 KEO DAI 23'!L8</f>
        <v>119582.4715</v>
      </c>
      <c r="F28" s="62">
        <f>'VON 22 KEO DAI 23'!M8</f>
        <v>101173.45068000001</v>
      </c>
      <c r="G28" s="62">
        <f>'VON 22 KEO DAI 23'!N8</f>
        <v>99256.350979999988</v>
      </c>
      <c r="H28" s="126">
        <f>'VON 22 KEO DAI 23'!O8</f>
        <v>83.002424799356973</v>
      </c>
      <c r="I28" s="266">
        <f>'VON 22 KEO DAI 23'!P8</f>
        <v>118017.81450000001</v>
      </c>
      <c r="J28" s="126">
        <f>'VON 22 KEO DAI 23'!Q8</f>
        <v>98.691566598036076</v>
      </c>
      <c r="K28" s="454"/>
      <c r="T28" s="453"/>
      <c r="V28" s="455">
        <f>20/44*100</f>
        <v>45.454545454545453</v>
      </c>
    </row>
    <row r="29" spans="1:24" s="104" customFormat="1" ht="18" customHeight="1">
      <c r="A29" s="155" t="s">
        <v>9</v>
      </c>
      <c r="B29" s="57" t="s">
        <v>497</v>
      </c>
      <c r="C29" s="48">
        <f>'VON 22 KEO DAI 23'!E9</f>
        <v>350030.96</v>
      </c>
      <c r="D29" s="48">
        <f>'VON 22 KEO DAI 23'!F9</f>
        <v>1200</v>
      </c>
      <c r="E29" s="48">
        <f>'VON 22 KEO DAI 23'!L9</f>
        <v>113613.7115</v>
      </c>
      <c r="F29" s="48">
        <f>'VON 22 KEO DAI 23'!M9</f>
        <v>97792.855680000008</v>
      </c>
      <c r="G29" s="48">
        <f>'VON 22 KEO DAI 23'!N9</f>
        <v>95875.755979999987</v>
      </c>
      <c r="H29" s="267">
        <f>'VON 22 KEO DAI 23'!O9</f>
        <v>84.387486962786156</v>
      </c>
      <c r="I29" s="67">
        <f>'VON 22 KEO DAI 23'!P9</f>
        <v>113613.7115</v>
      </c>
      <c r="J29" s="267">
        <f>'VON 22 KEO DAI 23'!Q9</f>
        <v>100</v>
      </c>
      <c r="K29" s="456"/>
      <c r="T29" s="453"/>
    </row>
    <row r="30" spans="1:24" s="460" customFormat="1" ht="18" customHeight="1">
      <c r="A30" s="148" t="s">
        <v>35</v>
      </c>
      <c r="B30" s="461" t="s">
        <v>333</v>
      </c>
      <c r="C30" s="41">
        <f>'VON 22 KEO DAI 23'!E10</f>
        <v>25368.459999999995</v>
      </c>
      <c r="D30" s="41"/>
      <c r="E30" s="41">
        <f>'VON 22 KEO DAI 23'!L10</f>
        <v>14098.9915</v>
      </c>
      <c r="F30" s="41">
        <f>'VON 22 KEO DAI 23'!M10</f>
        <v>12470.4148</v>
      </c>
      <c r="G30" s="41">
        <f>'VON 22 KEO DAI 23'!N10</f>
        <v>12097.009799999998</v>
      </c>
      <c r="H30" s="458">
        <f>'VON 22 KEO DAI 23'!O10</f>
        <v>85.800532612563089</v>
      </c>
      <c r="I30" s="794">
        <f>'VON 22 KEO DAI 23'!P10</f>
        <v>14098.991500000002</v>
      </c>
      <c r="J30" s="458">
        <f>'VON 22 KEO DAI 23'!Q10</f>
        <v>100.00000000000003</v>
      </c>
      <c r="K30" s="459"/>
      <c r="T30" s="462"/>
    </row>
    <row r="31" spans="1:24" s="460" customFormat="1" ht="18" customHeight="1">
      <c r="A31" s="148" t="s">
        <v>35</v>
      </c>
      <c r="B31" s="461" t="s">
        <v>166</v>
      </c>
      <c r="C31" s="41">
        <f>'VON 22 KEO DAI 23'!E51</f>
        <v>123790</v>
      </c>
      <c r="D31" s="41"/>
      <c r="E31" s="41">
        <f>'VON 22 KEO DAI 23'!L51</f>
        <v>46922.675000000003</v>
      </c>
      <c r="F31" s="41">
        <f>'VON 22 KEO DAI 23'!M51</f>
        <v>41829.118179999998</v>
      </c>
      <c r="G31" s="41">
        <f>'VON 22 KEO DAI 23'!N51</f>
        <v>40786.420179999994</v>
      </c>
      <c r="H31" s="458">
        <f>'VON 22 KEO DAI 23'!O51</f>
        <v>86.92262361427602</v>
      </c>
      <c r="I31" s="794">
        <f>'VON 22 KEO DAI 23'!P51</f>
        <v>46922.674999999996</v>
      </c>
      <c r="J31" s="458">
        <f>'VON 22 KEO DAI 23'!Q51</f>
        <v>99.999999999999986</v>
      </c>
      <c r="K31" s="459"/>
      <c r="T31" s="462"/>
    </row>
    <row r="32" spans="1:24" s="460" customFormat="1" ht="36" customHeight="1">
      <c r="A32" s="148" t="s">
        <v>35</v>
      </c>
      <c r="B32" s="461" t="s">
        <v>167</v>
      </c>
      <c r="C32" s="41">
        <f>'VON 22 KEO DAI 23'!E106</f>
        <v>200872.50000000003</v>
      </c>
      <c r="D32" s="41"/>
      <c r="E32" s="41">
        <f>'VON 22 KEO DAI 23'!L106</f>
        <v>52592.045000000006</v>
      </c>
      <c r="F32" s="41">
        <f>'VON 22 KEO DAI 23'!M106</f>
        <v>43493.322700000004</v>
      </c>
      <c r="G32" s="41">
        <f>'VON 22 KEO DAI 23'!N106</f>
        <v>42992.326000000001</v>
      </c>
      <c r="H32" s="458">
        <f>'VON 22 KEO DAI 23'!O106</f>
        <v>81.746823117450546</v>
      </c>
      <c r="I32" s="794">
        <f>'VON 22 KEO DAI 23'!P106</f>
        <v>52592.045000000006</v>
      </c>
      <c r="J32" s="458">
        <f>'VON 22 KEO DAI 23'!Q106</f>
        <v>100</v>
      </c>
      <c r="K32" s="459"/>
      <c r="T32" s="462"/>
    </row>
    <row r="33" spans="1:11" ht="18" customHeight="1">
      <c r="A33" s="271" t="s">
        <v>14</v>
      </c>
      <c r="B33" s="57" t="s">
        <v>162</v>
      </c>
      <c r="C33" s="48">
        <f>'VON 22 KEO DAI 23'!E211</f>
        <v>19515.054</v>
      </c>
      <c r="D33" s="728">
        <f>'VON 22 KEO DAI 23'!F211</f>
        <v>0</v>
      </c>
      <c r="E33" s="48">
        <f>'VON 22 KEO DAI 23'!L211</f>
        <v>3276.59</v>
      </c>
      <c r="F33" s="48">
        <f>'VON 22 KEO DAI 23'!M211</f>
        <v>2276.59</v>
      </c>
      <c r="G33" s="48">
        <f>'VON 22 KEO DAI 23'!N211</f>
        <v>2276.59</v>
      </c>
      <c r="H33" s="267">
        <f>'VON 22 KEO DAI 23'!O211</f>
        <v>69.48046597224554</v>
      </c>
      <c r="I33" s="67">
        <f>'VON 22 KEO DAI 23'!P211</f>
        <v>3276.59</v>
      </c>
      <c r="J33" s="267">
        <f>'VON 22 KEO DAI 23'!Q211</f>
        <v>100</v>
      </c>
      <c r="K33" s="255"/>
    </row>
    <row r="34" spans="1:11" ht="18" customHeight="1">
      <c r="A34" s="271" t="s">
        <v>15</v>
      </c>
      <c r="B34" s="57" t="s">
        <v>154</v>
      </c>
      <c r="C34" s="181">
        <f>'VON 22 KEO DAI 23'!E215</f>
        <v>42769.232000000004</v>
      </c>
      <c r="D34" s="728">
        <f>'VON 22 KEO DAI 23'!F215</f>
        <v>0</v>
      </c>
      <c r="E34" s="48">
        <f>'VON 22 KEO DAI 23'!L215</f>
        <v>2692.1699999999992</v>
      </c>
      <c r="F34" s="48">
        <f>'VON 22 KEO DAI 23'!M215</f>
        <v>1104.0050000000001</v>
      </c>
      <c r="G34" s="48">
        <f>'VON 22 KEO DAI 23'!N215</f>
        <v>1104.0050000000001</v>
      </c>
      <c r="H34" s="458">
        <f>'VON 22 KEO DAI 23'!O215</f>
        <v>41.007997266145914</v>
      </c>
      <c r="I34" s="794">
        <f>'VON 22 KEO DAI 23'!P215</f>
        <v>1127.5129999999997</v>
      </c>
      <c r="J34" s="458">
        <f>'VON 22 KEO DAI 23'!Q215</f>
        <v>41.881196209749014</v>
      </c>
      <c r="K34" s="255"/>
    </row>
    <row r="35" spans="1:11" s="209" customFormat="1" ht="19.8" customHeight="1">
      <c r="A35" s="110" t="s">
        <v>21</v>
      </c>
      <c r="B35" s="111" t="s">
        <v>47</v>
      </c>
      <c r="C35" s="62">
        <f>C36</f>
        <v>6600</v>
      </c>
      <c r="D35" s="457">
        <f t="shared" ref="D35:J35" si="2">D36</f>
        <v>0</v>
      </c>
      <c r="E35" s="62">
        <f t="shared" si="2"/>
        <v>6000</v>
      </c>
      <c r="F35" s="62">
        <f t="shared" si="2"/>
        <v>5415.2180000000008</v>
      </c>
      <c r="G35" s="62">
        <f t="shared" si="2"/>
        <v>5415.2180000000008</v>
      </c>
      <c r="H35" s="229">
        <f t="shared" si="2"/>
        <v>90.253633333333354</v>
      </c>
      <c r="I35" s="673">
        <f t="shared" si="2"/>
        <v>6000</v>
      </c>
      <c r="J35" s="229">
        <f t="shared" si="2"/>
        <v>100</v>
      </c>
      <c r="K35" s="264"/>
    </row>
    <row r="36" spans="1:11" ht="21.6" customHeight="1">
      <c r="A36" s="72" t="s">
        <v>9</v>
      </c>
      <c r="B36" s="57" t="s">
        <v>33</v>
      </c>
      <c r="C36" s="48">
        <f>'LUT BAO'!F8</f>
        <v>6600</v>
      </c>
      <c r="D36" s="729"/>
      <c r="E36" s="48">
        <f>'LUT BAO'!G8</f>
        <v>6000</v>
      </c>
      <c r="F36" s="48">
        <f>'LUT BAO'!H8</f>
        <v>5415.2180000000008</v>
      </c>
      <c r="G36" s="48">
        <f>'LUT BAO'!I8</f>
        <v>5415.2180000000008</v>
      </c>
      <c r="H36" s="267">
        <f>'LUT BAO'!J8</f>
        <v>90.253633333333354</v>
      </c>
      <c r="I36" s="67">
        <f>'LUT BAO'!M8</f>
        <v>6000</v>
      </c>
      <c r="J36" s="267">
        <f>'LUT BAO'!N8</f>
        <v>100</v>
      </c>
      <c r="K36" s="255"/>
    </row>
    <row r="37" spans="1:11" hidden="1">
      <c r="A37" s="72" t="s">
        <v>14</v>
      </c>
      <c r="B37" s="57" t="s">
        <v>32</v>
      </c>
      <c r="C37" s="48" t="e">
        <f>#REF!</f>
        <v>#REF!</v>
      </c>
      <c r="D37" s="48"/>
      <c r="E37" s="48"/>
      <c r="F37" s="48"/>
      <c r="G37" s="48"/>
      <c r="H37" s="267"/>
      <c r="I37" s="267"/>
      <c r="J37" s="267"/>
      <c r="K37" s="255"/>
    </row>
    <row r="38" spans="1:11" hidden="1">
      <c r="A38" s="72" t="s">
        <v>15</v>
      </c>
      <c r="B38" s="57" t="s">
        <v>34</v>
      </c>
      <c r="C38" s="48"/>
      <c r="D38" s="48"/>
      <c r="E38" s="48"/>
      <c r="F38" s="48"/>
      <c r="G38" s="48"/>
      <c r="H38" s="267"/>
      <c r="I38" s="267"/>
      <c r="J38" s="267"/>
      <c r="K38" s="255"/>
    </row>
    <row r="39" spans="1:11" ht="30.6" hidden="1" customHeight="1">
      <c r="A39" s="72" t="s">
        <v>36</v>
      </c>
      <c r="B39" s="57" t="s">
        <v>37</v>
      </c>
      <c r="C39" s="311"/>
      <c r="D39" s="311"/>
      <c r="E39" s="311"/>
      <c r="F39" s="311"/>
      <c r="G39" s="311"/>
      <c r="H39" s="312"/>
      <c r="I39" s="312"/>
      <c r="J39" s="312"/>
      <c r="K39" s="586"/>
    </row>
    <row r="42" spans="1:11" ht="24.6" customHeight="1">
      <c r="B42" s="797"/>
      <c r="C42" s="797"/>
      <c r="D42" s="797"/>
      <c r="E42" s="797"/>
      <c r="F42" s="797"/>
      <c r="G42" s="797"/>
      <c r="H42" s="797"/>
      <c r="I42" s="797"/>
      <c r="J42" s="797"/>
      <c r="K42" s="797"/>
    </row>
    <row r="49" spans="2:2">
      <c r="B49" s="23"/>
    </row>
    <row r="50" spans="2:2">
      <c r="B50" s="23"/>
    </row>
    <row r="51" spans="2:2">
      <c r="B51" s="23"/>
    </row>
    <row r="52" spans="2:2">
      <c r="B52" s="23"/>
    </row>
  </sheetData>
  <mergeCells count="14">
    <mergeCell ref="B42:K42"/>
    <mergeCell ref="K5:K7"/>
    <mergeCell ref="A1:K2"/>
    <mergeCell ref="L5:L7"/>
    <mergeCell ref="I5:I7"/>
    <mergeCell ref="J5:J7"/>
    <mergeCell ref="A5:A7"/>
    <mergeCell ref="B5:B7"/>
    <mergeCell ref="C5:C7"/>
    <mergeCell ref="F5:F7"/>
    <mergeCell ref="G5:G7"/>
    <mergeCell ref="H4:K4"/>
    <mergeCell ref="D5:E6"/>
    <mergeCell ref="H5:H7"/>
  </mergeCells>
  <printOptions horizontalCentered="1"/>
  <pageMargins left="0.39370078740157483" right="0.23622047244094491" top="0.59055118110236227" bottom="0.39370078740157483" header="0.31496062992125984" footer="0.31496062992125984"/>
  <pageSetup paperSize="9" scale="65" orientation="landscape" r:id="rId1"/>
  <headerFooter>
    <oddFooter>&amp;C&amp;P/&amp;N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161F-8427-4540-A34B-1553AC68AFD2}">
  <sheetPr>
    <tabColor rgb="FFFF0000"/>
  </sheetPr>
  <dimension ref="A1:X108"/>
  <sheetViews>
    <sheetView zoomScale="70" zoomScaleNormal="70" zoomScaleSheetLayoutView="100" workbookViewId="0">
      <pane xSplit="2" ySplit="8" topLeftCell="C68" activePane="bottomRight" state="frozen"/>
      <selection pane="topRight" activeCell="C1" sqref="C1"/>
      <selection pane="bottomLeft" activeCell="A10" sqref="A10"/>
      <selection pane="bottomRight" activeCell="W70" sqref="W70"/>
    </sheetView>
  </sheetViews>
  <sheetFormatPr defaultColWidth="8.6640625" defaultRowHeight="15.6"/>
  <cols>
    <col min="1" max="1" width="9.109375" style="11" customWidth="1"/>
    <col min="2" max="2" width="44.21875" style="96" customWidth="1"/>
    <col min="3" max="3" width="13" style="5" customWidth="1"/>
    <col min="4" max="4" width="26" style="97" customWidth="1"/>
    <col min="5" max="5" width="17.33203125" style="23" customWidth="1"/>
    <col min="6" max="6" width="15.5546875" style="4" customWidth="1"/>
    <col min="7" max="7" width="16.109375" style="23" customWidth="1"/>
    <col min="8" max="8" width="16.44140625" style="23" customWidth="1"/>
    <col min="9" max="9" width="16.109375" style="98" hidden="1" customWidth="1"/>
    <col min="10" max="10" width="16.33203125" style="4" hidden="1" customWidth="1"/>
    <col min="11" max="11" width="3.33203125" style="4" hidden="1" customWidth="1"/>
    <col min="12" max="12" width="5.33203125" style="4" hidden="1" customWidth="1"/>
    <col min="13" max="13" width="19" style="99" customWidth="1"/>
    <col min="14" max="14" width="17.33203125" style="100" hidden="1" customWidth="1"/>
    <col min="15" max="15" width="24.44140625" style="4" hidden="1" customWidth="1"/>
    <col min="16" max="16" width="17" style="4" hidden="1" customWidth="1"/>
    <col min="17" max="17" width="43.109375" style="101" hidden="1" customWidth="1"/>
    <col min="18" max="18" width="11.5546875" style="4" hidden="1" customWidth="1"/>
    <col min="19" max="19" width="15.44140625" style="4" hidden="1" customWidth="1"/>
    <col min="20" max="20" width="14.33203125" style="4" customWidth="1"/>
    <col min="21" max="21" width="16.21875" style="4" customWidth="1"/>
    <col min="22" max="22" width="14.109375" style="4" customWidth="1"/>
    <col min="23" max="23" width="8.6640625" style="4"/>
    <col min="24" max="24" width="13.6640625" style="4" customWidth="1"/>
    <col min="25" max="16384" width="8.6640625" style="4"/>
  </cols>
  <sheetData>
    <row r="1" spans="1:21" ht="17.399999999999999" customHeight="1">
      <c r="A1" s="890" t="s">
        <v>25</v>
      </c>
      <c r="B1" s="890"/>
      <c r="C1" s="890"/>
      <c r="D1" s="890"/>
      <c r="E1" s="890"/>
      <c r="F1" s="890"/>
      <c r="G1" s="890"/>
      <c r="H1" s="890"/>
      <c r="I1" s="890"/>
      <c r="J1" s="890"/>
      <c r="K1" s="890"/>
      <c r="L1" s="890"/>
      <c r="M1" s="890"/>
      <c r="N1" s="138"/>
      <c r="O1" s="139"/>
      <c r="P1" s="104"/>
      <c r="Q1" s="32"/>
      <c r="R1" s="104"/>
      <c r="S1" s="104"/>
      <c r="T1" s="18"/>
    </row>
    <row r="2" spans="1:21" ht="24" customHeight="1">
      <c r="A2" s="808" t="s">
        <v>499</v>
      </c>
      <c r="B2" s="808"/>
      <c r="C2" s="808"/>
      <c r="D2" s="808"/>
      <c r="E2" s="808"/>
      <c r="F2" s="808"/>
      <c r="G2" s="808"/>
      <c r="H2" s="808"/>
      <c r="I2" s="808"/>
      <c r="J2" s="808"/>
      <c r="K2" s="808"/>
      <c r="L2" s="808"/>
      <c r="M2" s="808"/>
      <c r="N2" s="140"/>
      <c r="O2" s="139"/>
      <c r="P2" s="104"/>
      <c r="Q2" s="32"/>
      <c r="R2" s="104"/>
      <c r="S2" s="104"/>
      <c r="T2" s="18"/>
    </row>
    <row r="3" spans="1:21" ht="24.6" customHeight="1">
      <c r="A3" s="809" t="s">
        <v>150</v>
      </c>
      <c r="B3" s="809"/>
      <c r="C3" s="809"/>
      <c r="D3" s="809"/>
      <c r="E3" s="809"/>
      <c r="F3" s="809"/>
      <c r="G3" s="809"/>
      <c r="H3" s="809"/>
      <c r="I3" s="809"/>
      <c r="J3" s="809"/>
      <c r="K3" s="809"/>
      <c r="L3" s="809"/>
      <c r="M3" s="809"/>
      <c r="N3" s="141"/>
      <c r="O3" s="139"/>
      <c r="P3" s="104"/>
      <c r="Q3" s="32"/>
      <c r="R3" s="104"/>
      <c r="S3" s="104"/>
      <c r="T3" s="18"/>
    </row>
    <row r="4" spans="1:21" ht="23.4" customHeight="1">
      <c r="A4" s="2"/>
      <c r="B4" s="3"/>
      <c r="C4" s="2"/>
      <c r="D4" s="2"/>
      <c r="E4" s="104"/>
      <c r="F4" s="104"/>
      <c r="G4" s="105"/>
      <c r="H4" s="105"/>
      <c r="I4" s="106"/>
      <c r="J4" s="811" t="s">
        <v>6</v>
      </c>
      <c r="K4" s="811"/>
      <c r="L4" s="811"/>
      <c r="M4" s="811"/>
      <c r="N4" s="142"/>
      <c r="O4" s="104"/>
      <c r="P4" s="104"/>
      <c r="Q4" s="881" t="s">
        <v>48</v>
      </c>
      <c r="R4" s="882"/>
      <c r="S4" s="104"/>
      <c r="T4" s="18"/>
    </row>
    <row r="5" spans="1:21" s="11" customFormat="1" ht="28.95" customHeight="1">
      <c r="A5" s="803" t="s">
        <v>0</v>
      </c>
      <c r="B5" s="803" t="s">
        <v>1</v>
      </c>
      <c r="C5" s="803" t="s">
        <v>142</v>
      </c>
      <c r="D5" s="803" t="s">
        <v>128</v>
      </c>
      <c r="E5" s="804" t="s">
        <v>3</v>
      </c>
      <c r="F5" s="804" t="s">
        <v>28</v>
      </c>
      <c r="G5" s="804"/>
      <c r="H5" s="892" t="s">
        <v>498</v>
      </c>
      <c r="I5" s="895" t="s">
        <v>164</v>
      </c>
      <c r="J5" s="883" t="s">
        <v>165</v>
      </c>
      <c r="K5" s="886" t="s">
        <v>51</v>
      </c>
      <c r="L5" s="886"/>
      <c r="M5" s="798" t="s">
        <v>2</v>
      </c>
      <c r="N5" s="814" t="s">
        <v>85</v>
      </c>
      <c r="O5" s="814" t="s">
        <v>86</v>
      </c>
      <c r="P5" s="813" t="s">
        <v>56</v>
      </c>
      <c r="Q5" s="805" t="s">
        <v>30</v>
      </c>
      <c r="R5" s="887" t="s">
        <v>31</v>
      </c>
      <c r="S5" s="143"/>
      <c r="T5" s="33"/>
      <c r="U5" s="129"/>
    </row>
    <row r="6" spans="1:21" s="11" customFormat="1">
      <c r="A6" s="803"/>
      <c r="B6" s="803"/>
      <c r="C6" s="803"/>
      <c r="D6" s="803"/>
      <c r="E6" s="804"/>
      <c r="F6" s="804" t="s">
        <v>332</v>
      </c>
      <c r="G6" s="891" t="s">
        <v>302</v>
      </c>
      <c r="H6" s="893"/>
      <c r="I6" s="896"/>
      <c r="J6" s="884"/>
      <c r="K6" s="886"/>
      <c r="L6" s="886"/>
      <c r="M6" s="798"/>
      <c r="N6" s="815"/>
      <c r="O6" s="815"/>
      <c r="P6" s="813"/>
      <c r="Q6" s="805"/>
      <c r="R6" s="888"/>
      <c r="S6" s="143"/>
      <c r="T6" s="33"/>
    </row>
    <row r="7" spans="1:21" s="11" customFormat="1" ht="43.2" customHeight="1">
      <c r="A7" s="803"/>
      <c r="B7" s="803"/>
      <c r="C7" s="803"/>
      <c r="D7" s="803"/>
      <c r="E7" s="804"/>
      <c r="F7" s="804"/>
      <c r="G7" s="891"/>
      <c r="H7" s="894"/>
      <c r="I7" s="897"/>
      <c r="J7" s="885"/>
      <c r="K7" s="134" t="s">
        <v>49</v>
      </c>
      <c r="L7" s="134" t="s">
        <v>50</v>
      </c>
      <c r="M7" s="798"/>
      <c r="N7" s="816"/>
      <c r="O7" s="816"/>
      <c r="P7" s="813"/>
      <c r="Q7" s="805"/>
      <c r="R7" s="889"/>
      <c r="S7" s="143"/>
      <c r="T7" s="33"/>
    </row>
    <row r="8" spans="1:21" s="36" customFormat="1" ht="54" hidden="1" customHeight="1">
      <c r="A8" s="110"/>
      <c r="B8" s="110" t="s">
        <v>29</v>
      </c>
      <c r="C8" s="110"/>
      <c r="D8" s="24"/>
      <c r="E8" s="107">
        <f>E9+E85+E96</f>
        <v>115158.41899999999</v>
      </c>
      <c r="F8" s="107">
        <f>F9+F85+F96</f>
        <v>21204.734</v>
      </c>
      <c r="G8" s="107">
        <f>G9+G85+G96</f>
        <v>47286.212</v>
      </c>
      <c r="H8" s="107">
        <f>H9+H85+H96</f>
        <v>27276.824999999997</v>
      </c>
      <c r="I8" s="107">
        <f>I9+I85+I96</f>
        <v>22927.898000000001</v>
      </c>
      <c r="J8" s="126">
        <f>I8/G8*100</f>
        <v>48.487491448881549</v>
      </c>
      <c r="K8" s="107">
        <f>K9+K85+K96</f>
        <v>35172.614000000001</v>
      </c>
      <c r="L8" s="126">
        <f>K8/G8*100</f>
        <v>74.382388676005604</v>
      </c>
      <c r="M8" s="108"/>
      <c r="N8" s="109"/>
      <c r="O8" s="37"/>
      <c r="P8" s="37"/>
      <c r="Q8" s="34"/>
      <c r="R8" s="132">
        <f t="shared" ref="R8:R96" si="0">H8-I8</f>
        <v>4348.926999999996</v>
      </c>
      <c r="S8" s="132">
        <f t="shared" ref="S8:S96" si="1">G8-H8</f>
        <v>20009.387000000002</v>
      </c>
      <c r="T8" s="35"/>
    </row>
    <row r="9" spans="1:21" s="39" customFormat="1" ht="23.4" hidden="1" customHeight="1">
      <c r="A9" s="110" t="s">
        <v>13</v>
      </c>
      <c r="B9" s="111" t="s">
        <v>7</v>
      </c>
      <c r="C9" s="110"/>
      <c r="D9" s="24"/>
      <c r="E9" s="112">
        <f>E10+E64+E72+E79+E82</f>
        <v>55474.044000000002</v>
      </c>
      <c r="F9" s="112">
        <f>F10+F64+F72+F79+F82</f>
        <v>11604.734</v>
      </c>
      <c r="G9" s="112">
        <f>G10+G64+G72+G79+G82</f>
        <v>27886.212</v>
      </c>
      <c r="H9" s="112">
        <f>H10+H64+H72+H79+H82</f>
        <v>15376.824999999999</v>
      </c>
      <c r="I9" s="112">
        <f>I10+I64+I72+I79+I82</f>
        <v>10029.317000000001</v>
      </c>
      <c r="J9" s="126">
        <f>I9/G9*100</f>
        <v>35.965146503225327</v>
      </c>
      <c r="K9" s="112">
        <f>K10+K64+K72+K79+K82</f>
        <v>13072.614</v>
      </c>
      <c r="L9" s="126">
        <f>K9/G9*100</f>
        <v>46.87841432174438</v>
      </c>
      <c r="M9" s="37"/>
      <c r="N9" s="37"/>
      <c r="O9" s="130"/>
      <c r="P9" s="37"/>
      <c r="Q9" s="34"/>
      <c r="R9" s="132">
        <f t="shared" si="0"/>
        <v>5347.507999999998</v>
      </c>
      <c r="S9" s="132">
        <f t="shared" si="1"/>
        <v>12509.387000000001</v>
      </c>
      <c r="T9" s="38"/>
    </row>
    <row r="10" spans="1:21" s="6" customFormat="1" ht="23.4" hidden="1" customHeight="1">
      <c r="A10" s="144" t="s">
        <v>9</v>
      </c>
      <c r="B10" s="118" t="s">
        <v>8</v>
      </c>
      <c r="C10" s="119"/>
      <c r="D10" s="72"/>
      <c r="E10" s="62">
        <f>E48+E57+E11+E55</f>
        <v>21557.505000000001</v>
      </c>
      <c r="F10" s="62">
        <f>F48+F57+F11+F55</f>
        <v>3076.2</v>
      </c>
      <c r="G10" s="62">
        <f>G48+G57+G11+G55</f>
        <v>10553</v>
      </c>
      <c r="H10" s="62">
        <f>H48+H57+H11+H55</f>
        <v>8892.0139999999992</v>
      </c>
      <c r="I10" s="62">
        <f>I48+I57+I11+I55</f>
        <v>6923.9450000000015</v>
      </c>
      <c r="J10" s="126">
        <f>I10/G10*100</f>
        <v>65.611153226570664</v>
      </c>
      <c r="K10" s="62">
        <f>K48+K57+K11+K55</f>
        <v>6621.1260000000002</v>
      </c>
      <c r="L10" s="62">
        <f>L48+L57+L11+L55</f>
        <v>176.42736598639453</v>
      </c>
      <c r="M10" s="37"/>
      <c r="N10" s="128"/>
      <c r="O10" s="109"/>
      <c r="P10" s="128"/>
      <c r="Q10" s="34" t="s">
        <v>87</v>
      </c>
      <c r="R10" s="132">
        <f t="shared" si="0"/>
        <v>1968.0689999999977</v>
      </c>
      <c r="S10" s="132">
        <f t="shared" si="1"/>
        <v>1660.9860000000008</v>
      </c>
      <c r="T10" s="19"/>
    </row>
    <row r="11" spans="1:21" s="6" customFormat="1" ht="23.4" hidden="1" customHeight="1">
      <c r="A11" s="145" t="s">
        <v>39</v>
      </c>
      <c r="B11" s="146" t="s">
        <v>59</v>
      </c>
      <c r="C11" s="147"/>
      <c r="D11" s="72"/>
      <c r="E11" s="62">
        <f>E12+E47</f>
        <v>0</v>
      </c>
      <c r="F11" s="62">
        <f>F12+F47</f>
        <v>0</v>
      </c>
      <c r="G11" s="62">
        <f>G12+G47</f>
        <v>2185.1999999999998</v>
      </c>
      <c r="H11" s="62">
        <f>H12+H47</f>
        <v>2085.1999999999998</v>
      </c>
      <c r="I11" s="62">
        <f>I12+I47</f>
        <v>2084.8510000000001</v>
      </c>
      <c r="J11" s="126">
        <f t="shared" ref="J11:J93" si="2">I11/G11*100</f>
        <v>95.407788760754173</v>
      </c>
      <c r="K11" s="62"/>
      <c r="L11" s="126"/>
      <c r="M11" s="37"/>
      <c r="N11" s="128"/>
      <c r="O11" s="109"/>
      <c r="P11" s="128"/>
      <c r="Q11" s="34"/>
      <c r="R11" s="132">
        <f t="shared" si="0"/>
        <v>0.34899999999970532</v>
      </c>
      <c r="S11" s="132">
        <f t="shared" si="1"/>
        <v>100</v>
      </c>
      <c r="T11" s="19"/>
    </row>
    <row r="12" spans="1:21" s="44" customFormat="1" ht="23.4" hidden="1" customHeight="1">
      <c r="A12" s="148">
        <v>1</v>
      </c>
      <c r="B12" s="149" t="s">
        <v>60</v>
      </c>
      <c r="C12" s="150"/>
      <c r="D12" s="72"/>
      <c r="E12" s="40"/>
      <c r="F12" s="40"/>
      <c r="G12" s="41">
        <v>2085.1999999999998</v>
      </c>
      <c r="H12" s="41">
        <v>2085.1999999999998</v>
      </c>
      <c r="I12" s="41">
        <f>SUM(I13:I46)</f>
        <v>2084.8510000000001</v>
      </c>
      <c r="J12" s="151">
        <f t="shared" si="2"/>
        <v>99.983262996355279</v>
      </c>
      <c r="K12" s="40"/>
      <c r="L12" s="152"/>
      <c r="M12" s="145"/>
      <c r="N12" s="153"/>
      <c r="O12" s="154"/>
      <c r="P12" s="153"/>
      <c r="Q12" s="42" t="s">
        <v>125</v>
      </c>
      <c r="R12" s="132">
        <f t="shared" si="0"/>
        <v>0.34899999999970532</v>
      </c>
      <c r="S12" s="132">
        <f t="shared" si="1"/>
        <v>0</v>
      </c>
      <c r="T12" s="43"/>
    </row>
    <row r="13" spans="1:21" s="44" customFormat="1" ht="31.2" hidden="1">
      <c r="A13" s="148" t="s">
        <v>35</v>
      </c>
      <c r="B13" s="45" t="s">
        <v>95</v>
      </c>
      <c r="C13" s="46">
        <v>7449366</v>
      </c>
      <c r="D13" s="47" t="s">
        <v>132</v>
      </c>
      <c r="E13" s="40"/>
      <c r="F13" s="40"/>
      <c r="G13" s="48">
        <v>1.8180000000000001</v>
      </c>
      <c r="H13" s="48">
        <f>G13</f>
        <v>1.8180000000000001</v>
      </c>
      <c r="I13" s="48">
        <v>1.8180000000000001</v>
      </c>
      <c r="J13" s="79">
        <f t="shared" si="2"/>
        <v>100</v>
      </c>
      <c r="K13" s="40"/>
      <c r="L13" s="152"/>
      <c r="M13" s="145"/>
      <c r="N13" s="153"/>
      <c r="O13" s="154"/>
      <c r="P13" s="153"/>
      <c r="Q13" s="49"/>
      <c r="R13" s="132"/>
      <c r="S13" s="132"/>
      <c r="T13" s="43"/>
    </row>
    <row r="14" spans="1:21" s="51" customFormat="1" ht="16.2" hidden="1">
      <c r="A14" s="148" t="s">
        <v>35</v>
      </c>
      <c r="B14" s="45" t="s">
        <v>96</v>
      </c>
      <c r="C14" s="46">
        <v>7199029</v>
      </c>
      <c r="D14" s="47" t="s">
        <v>132</v>
      </c>
      <c r="E14" s="40"/>
      <c r="F14" s="40"/>
      <c r="G14" s="48">
        <v>267.02300000000002</v>
      </c>
      <c r="H14" s="48">
        <f t="shared" ref="H14:I46" si="3">G14</f>
        <v>267.02300000000002</v>
      </c>
      <c r="I14" s="48">
        <f>H14</f>
        <v>267.02300000000002</v>
      </c>
      <c r="J14" s="79">
        <f t="shared" si="2"/>
        <v>100</v>
      </c>
      <c r="K14" s="40"/>
      <c r="L14" s="152"/>
      <c r="M14" s="145"/>
      <c r="N14" s="153"/>
      <c r="O14" s="154"/>
      <c r="P14" s="153"/>
      <c r="Q14" s="49"/>
      <c r="R14" s="132"/>
      <c r="S14" s="132"/>
      <c r="T14" s="50"/>
      <c r="U14" s="44"/>
    </row>
    <row r="15" spans="1:21" s="51" customFormat="1" ht="31.2" hidden="1">
      <c r="A15" s="148" t="s">
        <v>35</v>
      </c>
      <c r="B15" s="45" t="s">
        <v>97</v>
      </c>
      <c r="C15" s="46">
        <v>7136666</v>
      </c>
      <c r="D15" s="47" t="s">
        <v>132</v>
      </c>
      <c r="E15" s="40"/>
      <c r="F15" s="40"/>
      <c r="G15" s="48">
        <v>91.320999999999998</v>
      </c>
      <c r="H15" s="48">
        <f t="shared" si="3"/>
        <v>91.320999999999998</v>
      </c>
      <c r="I15" s="48">
        <f>H15</f>
        <v>91.320999999999998</v>
      </c>
      <c r="J15" s="79">
        <f t="shared" si="2"/>
        <v>100</v>
      </c>
      <c r="K15" s="40"/>
      <c r="L15" s="152"/>
      <c r="M15" s="145"/>
      <c r="N15" s="153"/>
      <c r="O15" s="154"/>
      <c r="P15" s="153"/>
      <c r="Q15" s="49"/>
      <c r="R15" s="132"/>
      <c r="S15" s="132"/>
      <c r="T15" s="50"/>
      <c r="U15" s="44"/>
    </row>
    <row r="16" spans="1:21" s="51" customFormat="1" ht="31.2" hidden="1">
      <c r="A16" s="148" t="s">
        <v>35</v>
      </c>
      <c r="B16" s="52" t="s">
        <v>98</v>
      </c>
      <c r="C16" s="46">
        <v>7710947</v>
      </c>
      <c r="D16" s="47" t="s">
        <v>132</v>
      </c>
      <c r="E16" s="40"/>
      <c r="F16" s="40"/>
      <c r="G16" s="48">
        <v>0.32700000000000001</v>
      </c>
      <c r="H16" s="48">
        <f t="shared" si="3"/>
        <v>0.32700000000000001</v>
      </c>
      <c r="I16" s="48">
        <f>H16</f>
        <v>0.32700000000000001</v>
      </c>
      <c r="J16" s="79">
        <f t="shared" si="2"/>
        <v>100</v>
      </c>
      <c r="K16" s="40"/>
      <c r="L16" s="152"/>
      <c r="M16" s="145"/>
      <c r="N16" s="153"/>
      <c r="O16" s="154"/>
      <c r="P16" s="153"/>
      <c r="Q16" s="49"/>
      <c r="R16" s="132"/>
      <c r="S16" s="132"/>
      <c r="T16" s="50"/>
      <c r="U16" s="44"/>
    </row>
    <row r="17" spans="1:21" s="51" customFormat="1" ht="16.2" hidden="1">
      <c r="A17" s="148" t="s">
        <v>35</v>
      </c>
      <c r="B17" s="55" t="s">
        <v>99</v>
      </c>
      <c r="C17" s="46">
        <v>7648950</v>
      </c>
      <c r="D17" s="47" t="s">
        <v>132</v>
      </c>
      <c r="E17" s="40"/>
      <c r="F17" s="40"/>
      <c r="G17" s="48">
        <v>130</v>
      </c>
      <c r="H17" s="48">
        <f t="shared" si="3"/>
        <v>130</v>
      </c>
      <c r="I17" s="48">
        <v>130</v>
      </c>
      <c r="J17" s="79">
        <f t="shared" si="2"/>
        <v>100</v>
      </c>
      <c r="K17" s="40"/>
      <c r="L17" s="152"/>
      <c r="M17" s="145"/>
      <c r="N17" s="153"/>
      <c r="O17" s="154"/>
      <c r="P17" s="153"/>
      <c r="Q17" s="49"/>
      <c r="R17" s="132"/>
      <c r="S17" s="132"/>
      <c r="T17" s="50"/>
      <c r="U17" s="44"/>
    </row>
    <row r="18" spans="1:21" s="51" customFormat="1" ht="31.2" hidden="1">
      <c r="A18" s="148" t="s">
        <v>35</v>
      </c>
      <c r="B18" s="53" t="s">
        <v>100</v>
      </c>
      <c r="C18" s="54">
        <v>7629155</v>
      </c>
      <c r="D18" s="47" t="s">
        <v>132</v>
      </c>
      <c r="E18" s="40"/>
      <c r="F18" s="40"/>
      <c r="G18" s="48">
        <v>28.041</v>
      </c>
      <c r="H18" s="48">
        <f t="shared" si="3"/>
        <v>28.041</v>
      </c>
      <c r="I18" s="48">
        <f t="shared" si="3"/>
        <v>28.041</v>
      </c>
      <c r="J18" s="79">
        <f t="shared" si="2"/>
        <v>100</v>
      </c>
      <c r="K18" s="40"/>
      <c r="L18" s="152"/>
      <c r="M18" s="145"/>
      <c r="N18" s="153"/>
      <c r="O18" s="154"/>
      <c r="P18" s="153"/>
      <c r="Q18" s="49"/>
      <c r="R18" s="132"/>
      <c r="S18" s="132"/>
      <c r="T18" s="50"/>
      <c r="U18" s="44"/>
    </row>
    <row r="19" spans="1:21" s="51" customFormat="1" ht="16.2" hidden="1">
      <c r="A19" s="148" t="s">
        <v>35</v>
      </c>
      <c r="B19" s="45" t="s">
        <v>101</v>
      </c>
      <c r="C19" s="46">
        <v>7748375</v>
      </c>
      <c r="D19" s="47" t="s">
        <v>132</v>
      </c>
      <c r="E19" s="40"/>
      <c r="F19" s="40"/>
      <c r="G19" s="48">
        <v>9.4169999999999998</v>
      </c>
      <c r="H19" s="48">
        <f t="shared" si="3"/>
        <v>9.4169999999999998</v>
      </c>
      <c r="I19" s="48">
        <f t="shared" si="3"/>
        <v>9.4169999999999998</v>
      </c>
      <c r="J19" s="79">
        <f t="shared" si="2"/>
        <v>100</v>
      </c>
      <c r="K19" s="40"/>
      <c r="L19" s="152"/>
      <c r="M19" s="145"/>
      <c r="N19" s="153"/>
      <c r="O19" s="154"/>
      <c r="P19" s="153"/>
      <c r="Q19" s="49"/>
      <c r="R19" s="132"/>
      <c r="S19" s="132"/>
      <c r="T19" s="50"/>
      <c r="U19" s="44"/>
    </row>
    <row r="20" spans="1:21" s="51" customFormat="1" ht="16.2" hidden="1">
      <c r="A20" s="148" t="s">
        <v>35</v>
      </c>
      <c r="B20" s="45" t="s">
        <v>102</v>
      </c>
      <c r="C20" s="46">
        <v>7696319</v>
      </c>
      <c r="D20" s="47" t="s">
        <v>132</v>
      </c>
      <c r="E20" s="40"/>
      <c r="F20" s="40"/>
      <c r="G20" s="48">
        <v>8.6120000000000001</v>
      </c>
      <c r="H20" s="48">
        <f t="shared" si="3"/>
        <v>8.6120000000000001</v>
      </c>
      <c r="I20" s="48">
        <f t="shared" si="3"/>
        <v>8.6120000000000001</v>
      </c>
      <c r="J20" s="79">
        <f t="shared" si="2"/>
        <v>100</v>
      </c>
      <c r="K20" s="40"/>
      <c r="L20" s="152"/>
      <c r="M20" s="145"/>
      <c r="N20" s="153"/>
      <c r="O20" s="154"/>
      <c r="P20" s="153"/>
      <c r="Q20" s="49"/>
      <c r="R20" s="132"/>
      <c r="S20" s="132"/>
      <c r="T20" s="50"/>
      <c r="U20" s="44"/>
    </row>
    <row r="21" spans="1:21" s="51" customFormat="1" ht="31.2" hidden="1">
      <c r="A21" s="148" t="s">
        <v>35</v>
      </c>
      <c r="B21" s="55" t="s">
        <v>103</v>
      </c>
      <c r="C21" s="46">
        <v>7828798</v>
      </c>
      <c r="D21" s="47" t="s">
        <v>132</v>
      </c>
      <c r="E21" s="40"/>
      <c r="F21" s="40"/>
      <c r="G21" s="48">
        <v>26.771000000000001</v>
      </c>
      <c r="H21" s="48">
        <f t="shared" si="3"/>
        <v>26.771000000000001</v>
      </c>
      <c r="I21" s="48">
        <f t="shared" si="3"/>
        <v>26.771000000000001</v>
      </c>
      <c r="J21" s="79">
        <f t="shared" si="2"/>
        <v>100</v>
      </c>
      <c r="K21" s="40"/>
      <c r="L21" s="152"/>
      <c r="M21" s="145"/>
      <c r="N21" s="153"/>
      <c r="O21" s="154"/>
      <c r="P21" s="153"/>
      <c r="Q21" s="49"/>
      <c r="R21" s="132"/>
      <c r="S21" s="132"/>
      <c r="T21" s="50"/>
      <c r="U21" s="44"/>
    </row>
    <row r="22" spans="1:21" s="51" customFormat="1" ht="46.8" hidden="1">
      <c r="A22" s="148" t="s">
        <v>35</v>
      </c>
      <c r="B22" s="55" t="s">
        <v>104</v>
      </c>
      <c r="C22" s="46">
        <v>7828804</v>
      </c>
      <c r="D22" s="47" t="s">
        <v>132</v>
      </c>
      <c r="E22" s="40"/>
      <c r="F22" s="40"/>
      <c r="G22" s="48">
        <v>62.667999999999999</v>
      </c>
      <c r="H22" s="48">
        <f t="shared" si="3"/>
        <v>62.667999999999999</v>
      </c>
      <c r="I22" s="48">
        <f t="shared" si="3"/>
        <v>62.667999999999999</v>
      </c>
      <c r="J22" s="79">
        <f t="shared" si="2"/>
        <v>100</v>
      </c>
      <c r="K22" s="40"/>
      <c r="L22" s="152"/>
      <c r="M22" s="145"/>
      <c r="N22" s="153"/>
      <c r="O22" s="154"/>
      <c r="P22" s="153"/>
      <c r="Q22" s="49"/>
      <c r="R22" s="132"/>
      <c r="S22" s="132"/>
      <c r="T22" s="50"/>
      <c r="U22" s="44"/>
    </row>
    <row r="23" spans="1:21" s="51" customFormat="1" ht="31.2" hidden="1">
      <c r="A23" s="148" t="s">
        <v>35</v>
      </c>
      <c r="B23" s="55" t="s">
        <v>105</v>
      </c>
      <c r="C23" s="46">
        <v>7748368</v>
      </c>
      <c r="D23" s="47" t="s">
        <v>132</v>
      </c>
      <c r="E23" s="40"/>
      <c r="F23" s="40"/>
      <c r="G23" s="48">
        <v>8.5500000000000007</v>
      </c>
      <c r="H23" s="48">
        <f t="shared" si="3"/>
        <v>8.5500000000000007</v>
      </c>
      <c r="I23" s="48">
        <f t="shared" si="3"/>
        <v>8.5500000000000007</v>
      </c>
      <c r="J23" s="79">
        <f t="shared" si="2"/>
        <v>100</v>
      </c>
      <c r="K23" s="40"/>
      <c r="L23" s="152"/>
      <c r="M23" s="145"/>
      <c r="N23" s="153"/>
      <c r="O23" s="154"/>
      <c r="P23" s="153"/>
      <c r="Q23" s="49"/>
      <c r="R23" s="132"/>
      <c r="S23" s="132"/>
      <c r="T23" s="50"/>
      <c r="U23" s="44"/>
    </row>
    <row r="24" spans="1:21" s="51" customFormat="1" ht="31.2" hidden="1">
      <c r="A24" s="148" t="s">
        <v>35</v>
      </c>
      <c r="B24" s="55" t="s">
        <v>106</v>
      </c>
      <c r="C24" s="46">
        <v>7130616</v>
      </c>
      <c r="D24" s="47" t="s">
        <v>132</v>
      </c>
      <c r="E24" s="40"/>
      <c r="F24" s="40"/>
      <c r="G24" s="48">
        <v>130.66800000000001</v>
      </c>
      <c r="H24" s="48">
        <f t="shared" si="3"/>
        <v>130.66800000000001</v>
      </c>
      <c r="I24" s="48">
        <v>130.66800000000001</v>
      </c>
      <c r="J24" s="79">
        <f t="shared" si="2"/>
        <v>100</v>
      </c>
      <c r="K24" s="40"/>
      <c r="L24" s="152"/>
      <c r="M24" s="145"/>
      <c r="N24" s="153"/>
      <c r="O24" s="154"/>
      <c r="P24" s="153"/>
      <c r="Q24" s="49"/>
      <c r="R24" s="132"/>
      <c r="S24" s="132"/>
      <c r="T24" s="50"/>
      <c r="U24" s="44"/>
    </row>
    <row r="25" spans="1:21" s="44" customFormat="1" ht="31.2" hidden="1">
      <c r="A25" s="148" t="s">
        <v>35</v>
      </c>
      <c r="B25" s="55" t="s">
        <v>107</v>
      </c>
      <c r="C25" s="46">
        <v>7752163</v>
      </c>
      <c r="D25" s="47" t="s">
        <v>132</v>
      </c>
      <c r="E25" s="40"/>
      <c r="F25" s="40"/>
      <c r="G25" s="48">
        <v>11.281000000000001</v>
      </c>
      <c r="H25" s="48">
        <f t="shared" si="3"/>
        <v>11.281000000000001</v>
      </c>
      <c r="I25" s="48">
        <v>11.281000000000001</v>
      </c>
      <c r="J25" s="79">
        <f t="shared" si="2"/>
        <v>100</v>
      </c>
      <c r="K25" s="40"/>
      <c r="L25" s="152"/>
      <c r="M25" s="145"/>
      <c r="N25" s="153"/>
      <c r="O25" s="154"/>
      <c r="P25" s="153"/>
      <c r="Q25" s="49"/>
      <c r="R25" s="132"/>
      <c r="S25" s="132"/>
      <c r="T25" s="43"/>
    </row>
    <row r="26" spans="1:21" s="44" customFormat="1" ht="31.2" hidden="1">
      <c r="A26" s="148" t="s">
        <v>35</v>
      </c>
      <c r="B26" s="45" t="s">
        <v>108</v>
      </c>
      <c r="C26" s="46">
        <v>7828803</v>
      </c>
      <c r="D26" s="47" t="s">
        <v>132</v>
      </c>
      <c r="E26" s="40"/>
      <c r="F26" s="40"/>
      <c r="G26" s="48">
        <v>2.5670000000000002</v>
      </c>
      <c r="H26" s="48">
        <f t="shared" si="3"/>
        <v>2.5670000000000002</v>
      </c>
      <c r="I26" s="48">
        <f>H26</f>
        <v>2.5670000000000002</v>
      </c>
      <c r="J26" s="79">
        <f t="shared" si="2"/>
        <v>100</v>
      </c>
      <c r="K26" s="40"/>
      <c r="L26" s="152"/>
      <c r="M26" s="145"/>
      <c r="N26" s="153"/>
      <c r="O26" s="154"/>
      <c r="P26" s="153"/>
      <c r="Q26" s="49"/>
      <c r="R26" s="132"/>
      <c r="S26" s="132"/>
      <c r="T26" s="43"/>
    </row>
    <row r="27" spans="1:21" s="44" customFormat="1" ht="31.2" hidden="1">
      <c r="A27" s="148" t="s">
        <v>35</v>
      </c>
      <c r="B27" s="45" t="s">
        <v>109</v>
      </c>
      <c r="C27" s="46">
        <v>7799425</v>
      </c>
      <c r="D27" s="47" t="s">
        <v>132</v>
      </c>
      <c r="E27" s="40"/>
      <c r="F27" s="40"/>
      <c r="G27" s="48">
        <v>0.26600000000000001</v>
      </c>
      <c r="H27" s="48">
        <f t="shared" si="3"/>
        <v>0.26600000000000001</v>
      </c>
      <c r="I27" s="48">
        <f>H27</f>
        <v>0.26600000000000001</v>
      </c>
      <c r="J27" s="79">
        <f t="shared" si="2"/>
        <v>100</v>
      </c>
      <c r="K27" s="40"/>
      <c r="L27" s="152"/>
      <c r="M27" s="145"/>
      <c r="N27" s="153"/>
      <c r="O27" s="154"/>
      <c r="P27" s="153"/>
      <c r="Q27" s="49"/>
      <c r="R27" s="132"/>
      <c r="S27" s="132"/>
      <c r="T27" s="43"/>
    </row>
    <row r="28" spans="1:21" s="44" customFormat="1" ht="31.2" hidden="1">
      <c r="A28" s="148" t="s">
        <v>35</v>
      </c>
      <c r="B28" s="45" t="s">
        <v>110</v>
      </c>
      <c r="C28" s="46">
        <v>7004686</v>
      </c>
      <c r="D28" s="155" t="s">
        <v>130</v>
      </c>
      <c r="E28" s="40"/>
      <c r="F28" s="40"/>
      <c r="G28" s="48">
        <v>4.3440000000000003</v>
      </c>
      <c r="H28" s="48">
        <f t="shared" si="3"/>
        <v>4.3440000000000003</v>
      </c>
      <c r="I28" s="48">
        <f>H28</f>
        <v>4.3440000000000003</v>
      </c>
      <c r="J28" s="79">
        <f t="shared" si="2"/>
        <v>100</v>
      </c>
      <c r="K28" s="40"/>
      <c r="L28" s="152"/>
      <c r="M28" s="145"/>
      <c r="N28" s="153"/>
      <c r="O28" s="154"/>
      <c r="P28" s="153"/>
      <c r="Q28" s="49"/>
      <c r="R28" s="132"/>
      <c r="S28" s="132"/>
      <c r="T28" s="43"/>
    </row>
    <row r="29" spans="1:21" s="44" customFormat="1" ht="31.2" hidden="1">
      <c r="A29" s="148" t="s">
        <v>35</v>
      </c>
      <c r="B29" s="45" t="s">
        <v>111</v>
      </c>
      <c r="C29" s="56">
        <v>7771404</v>
      </c>
      <c r="D29" s="72" t="s">
        <v>129</v>
      </c>
      <c r="E29" s="40"/>
      <c r="F29" s="40"/>
      <c r="G29" s="48">
        <v>2.8159999999999998</v>
      </c>
      <c r="H29" s="48">
        <f t="shared" si="3"/>
        <v>2.8159999999999998</v>
      </c>
      <c r="I29" s="48">
        <v>2.8159999999999998</v>
      </c>
      <c r="J29" s="79">
        <f t="shared" si="2"/>
        <v>100</v>
      </c>
      <c r="K29" s="40"/>
      <c r="L29" s="152"/>
      <c r="M29" s="145"/>
      <c r="N29" s="153"/>
      <c r="O29" s="154"/>
      <c r="P29" s="153"/>
      <c r="Q29" s="49"/>
      <c r="R29" s="132"/>
      <c r="S29" s="132"/>
      <c r="T29" s="43"/>
    </row>
    <row r="30" spans="1:21" s="44" customFormat="1" ht="31.2" hidden="1">
      <c r="A30" s="148" t="s">
        <v>35</v>
      </c>
      <c r="B30" s="45" t="s">
        <v>112</v>
      </c>
      <c r="C30" s="56">
        <v>7882387</v>
      </c>
      <c r="D30" s="72" t="s">
        <v>129</v>
      </c>
      <c r="E30" s="40"/>
      <c r="F30" s="40"/>
      <c r="G30" s="48">
        <v>1.425</v>
      </c>
      <c r="H30" s="48">
        <f t="shared" si="3"/>
        <v>1.425</v>
      </c>
      <c r="I30" s="48">
        <v>1.425</v>
      </c>
      <c r="J30" s="79">
        <f t="shared" si="2"/>
        <v>100</v>
      </c>
      <c r="K30" s="40"/>
      <c r="L30" s="152"/>
      <c r="M30" s="145"/>
      <c r="N30" s="153"/>
      <c r="O30" s="154"/>
      <c r="P30" s="153"/>
      <c r="Q30" s="49"/>
      <c r="R30" s="132"/>
      <c r="S30" s="132"/>
      <c r="T30" s="43"/>
    </row>
    <row r="31" spans="1:21" s="44" customFormat="1" ht="16.2" hidden="1">
      <c r="A31" s="148" t="s">
        <v>35</v>
      </c>
      <c r="B31" s="45" t="s">
        <v>113</v>
      </c>
      <c r="C31" s="46">
        <v>7807916</v>
      </c>
      <c r="D31" s="47" t="s">
        <v>132</v>
      </c>
      <c r="E31" s="40"/>
      <c r="F31" s="40"/>
      <c r="G31" s="48">
        <v>97.823999999999998</v>
      </c>
      <c r="H31" s="48">
        <f t="shared" si="3"/>
        <v>97.823999999999998</v>
      </c>
      <c r="I31" s="48">
        <v>97.823999999999998</v>
      </c>
      <c r="J31" s="79">
        <f t="shared" si="2"/>
        <v>100</v>
      </c>
      <c r="K31" s="40"/>
      <c r="L31" s="152"/>
      <c r="M31" s="145"/>
      <c r="N31" s="153"/>
      <c r="O31" s="154"/>
      <c r="P31" s="153"/>
      <c r="Q31" s="49"/>
      <c r="R31" s="132"/>
      <c r="S31" s="132"/>
      <c r="T31" s="43"/>
    </row>
    <row r="32" spans="1:21" s="44" customFormat="1" ht="31.2" hidden="1">
      <c r="A32" s="148" t="s">
        <v>35</v>
      </c>
      <c r="B32" s="45" t="s">
        <v>114</v>
      </c>
      <c r="C32" s="46">
        <v>7830104</v>
      </c>
      <c r="D32" s="47" t="s">
        <v>132</v>
      </c>
      <c r="E32" s="40"/>
      <c r="F32" s="40"/>
      <c r="G32" s="48">
        <v>15.741</v>
      </c>
      <c r="H32" s="48">
        <f t="shared" si="3"/>
        <v>15.741</v>
      </c>
      <c r="I32" s="48">
        <f>H32</f>
        <v>15.741</v>
      </c>
      <c r="J32" s="79">
        <f t="shared" si="2"/>
        <v>100</v>
      </c>
      <c r="K32" s="40"/>
      <c r="L32" s="152"/>
      <c r="M32" s="145"/>
      <c r="N32" s="153"/>
      <c r="O32" s="154"/>
      <c r="P32" s="153"/>
      <c r="Q32" s="49"/>
      <c r="R32" s="132"/>
      <c r="S32" s="132"/>
      <c r="T32" s="43"/>
    </row>
    <row r="33" spans="1:20" s="44" customFormat="1" ht="16.2" hidden="1">
      <c r="A33" s="148" t="s">
        <v>35</v>
      </c>
      <c r="B33" s="45" t="s">
        <v>115</v>
      </c>
      <c r="C33" s="56">
        <v>7797464</v>
      </c>
      <c r="D33" s="47" t="s">
        <v>132</v>
      </c>
      <c r="E33" s="40"/>
      <c r="F33" s="40"/>
      <c r="G33" s="48">
        <v>33.243000000000002</v>
      </c>
      <c r="H33" s="48">
        <f t="shared" si="3"/>
        <v>33.243000000000002</v>
      </c>
      <c r="I33" s="48">
        <f>H33</f>
        <v>33.243000000000002</v>
      </c>
      <c r="J33" s="79">
        <f t="shared" si="2"/>
        <v>100</v>
      </c>
      <c r="K33" s="40"/>
      <c r="L33" s="152"/>
      <c r="M33" s="145"/>
      <c r="N33" s="153"/>
      <c r="O33" s="154"/>
      <c r="P33" s="153"/>
      <c r="Q33" s="49"/>
      <c r="R33" s="132"/>
      <c r="S33" s="132"/>
      <c r="T33" s="43"/>
    </row>
    <row r="34" spans="1:20" s="44" customFormat="1" ht="16.2" hidden="1">
      <c r="A34" s="148" t="s">
        <v>35</v>
      </c>
      <c r="B34" s="45" t="s">
        <v>44</v>
      </c>
      <c r="C34" s="46">
        <v>7837366</v>
      </c>
      <c r="D34" s="72" t="s">
        <v>133</v>
      </c>
      <c r="E34" s="40"/>
      <c r="F34" s="40"/>
      <c r="G34" s="48">
        <v>160</v>
      </c>
      <c r="H34" s="48">
        <v>160</v>
      </c>
      <c r="I34" s="48">
        <v>159.65100000000001</v>
      </c>
      <c r="J34" s="79">
        <f t="shared" si="2"/>
        <v>99.781875000000014</v>
      </c>
      <c r="K34" s="40"/>
      <c r="L34" s="152"/>
      <c r="M34" s="145"/>
      <c r="N34" s="153"/>
      <c r="O34" s="154"/>
      <c r="P34" s="153"/>
      <c r="Q34" s="49"/>
      <c r="R34" s="132"/>
      <c r="S34" s="132"/>
      <c r="T34" s="43"/>
    </row>
    <row r="35" spans="1:20" s="44" customFormat="1" ht="31.2" hidden="1">
      <c r="A35" s="148" t="s">
        <v>35</v>
      </c>
      <c r="B35" s="45" t="s">
        <v>116</v>
      </c>
      <c r="C35" s="46">
        <v>7485857</v>
      </c>
      <c r="D35" s="47" t="s">
        <v>132</v>
      </c>
      <c r="E35" s="40"/>
      <c r="F35" s="40"/>
      <c r="G35" s="48">
        <v>54.106000000000002</v>
      </c>
      <c r="H35" s="48">
        <f t="shared" si="3"/>
        <v>54.106000000000002</v>
      </c>
      <c r="I35" s="48">
        <f>H35</f>
        <v>54.106000000000002</v>
      </c>
      <c r="J35" s="79">
        <f t="shared" si="2"/>
        <v>100</v>
      </c>
      <c r="K35" s="40"/>
      <c r="L35" s="152"/>
      <c r="M35" s="145"/>
      <c r="N35" s="153"/>
      <c r="O35" s="154"/>
      <c r="P35" s="153"/>
      <c r="Q35" s="49"/>
      <c r="R35" s="132"/>
      <c r="S35" s="132"/>
      <c r="T35" s="43"/>
    </row>
    <row r="36" spans="1:20" s="44" customFormat="1" ht="46.8" hidden="1">
      <c r="A36" s="148" t="s">
        <v>35</v>
      </c>
      <c r="B36" s="45" t="s">
        <v>117</v>
      </c>
      <c r="C36" s="46">
        <v>7393406</v>
      </c>
      <c r="D36" s="47" t="s">
        <v>132</v>
      </c>
      <c r="E36" s="40"/>
      <c r="F36" s="40"/>
      <c r="G36" s="48">
        <v>61.941000000000003</v>
      </c>
      <c r="H36" s="48">
        <f t="shared" si="3"/>
        <v>61.941000000000003</v>
      </c>
      <c r="I36" s="48">
        <f>H36</f>
        <v>61.941000000000003</v>
      </c>
      <c r="J36" s="79">
        <f t="shared" si="2"/>
        <v>100</v>
      </c>
      <c r="K36" s="40"/>
      <c r="L36" s="152"/>
      <c r="M36" s="145"/>
      <c r="N36" s="153"/>
      <c r="O36" s="154"/>
      <c r="P36" s="153"/>
      <c r="Q36" s="49"/>
      <c r="R36" s="132"/>
      <c r="S36" s="132"/>
      <c r="T36" s="43"/>
    </row>
    <row r="37" spans="1:20" s="44" customFormat="1" ht="31.2" hidden="1">
      <c r="A37" s="148" t="s">
        <v>35</v>
      </c>
      <c r="B37" s="57" t="s">
        <v>4</v>
      </c>
      <c r="C37" s="46">
        <v>7683946</v>
      </c>
      <c r="D37" s="47" t="s">
        <v>132</v>
      </c>
      <c r="E37" s="40"/>
      <c r="F37" s="40"/>
      <c r="G37" s="48">
        <v>4.1779999999999999</v>
      </c>
      <c r="H37" s="48">
        <f t="shared" si="3"/>
        <v>4.1779999999999999</v>
      </c>
      <c r="I37" s="48">
        <f>H37</f>
        <v>4.1779999999999999</v>
      </c>
      <c r="J37" s="79">
        <f t="shared" si="2"/>
        <v>100</v>
      </c>
      <c r="K37" s="40"/>
      <c r="L37" s="152"/>
      <c r="M37" s="145"/>
      <c r="N37" s="153"/>
      <c r="O37" s="154"/>
      <c r="P37" s="153"/>
      <c r="Q37" s="49"/>
      <c r="R37" s="132"/>
      <c r="S37" s="132"/>
      <c r="T37" s="43"/>
    </row>
    <row r="38" spans="1:20" s="44" customFormat="1" ht="31.2" hidden="1">
      <c r="A38" s="148" t="s">
        <v>35</v>
      </c>
      <c r="B38" s="55" t="s">
        <v>118</v>
      </c>
      <c r="C38" s="46">
        <v>7750123</v>
      </c>
      <c r="D38" s="47" t="s">
        <v>132</v>
      </c>
      <c r="E38" s="40"/>
      <c r="F38" s="40"/>
      <c r="G38" s="48">
        <v>1.2470000000000001</v>
      </c>
      <c r="H38" s="48">
        <f t="shared" si="3"/>
        <v>1.2470000000000001</v>
      </c>
      <c r="I38" s="48">
        <f>H38</f>
        <v>1.2470000000000001</v>
      </c>
      <c r="J38" s="79">
        <f t="shared" si="2"/>
        <v>100</v>
      </c>
      <c r="K38" s="40"/>
      <c r="L38" s="152"/>
      <c r="M38" s="145"/>
      <c r="N38" s="153"/>
      <c r="O38" s="154"/>
      <c r="P38" s="153"/>
      <c r="Q38" s="49"/>
      <c r="R38" s="132"/>
      <c r="S38" s="132"/>
      <c r="T38" s="43"/>
    </row>
    <row r="39" spans="1:20" s="44" customFormat="1" ht="31.2" hidden="1">
      <c r="A39" s="148" t="s">
        <v>35</v>
      </c>
      <c r="B39" s="58" t="s">
        <v>119</v>
      </c>
      <c r="C39" s="56">
        <v>7672807</v>
      </c>
      <c r="D39" s="47" t="s">
        <v>132</v>
      </c>
      <c r="E39" s="40"/>
      <c r="F39" s="40"/>
      <c r="G39" s="48">
        <v>14.346</v>
      </c>
      <c r="H39" s="48">
        <f t="shared" si="3"/>
        <v>14.346</v>
      </c>
      <c r="I39" s="48">
        <f>H39</f>
        <v>14.346</v>
      </c>
      <c r="J39" s="79">
        <f t="shared" si="2"/>
        <v>100</v>
      </c>
      <c r="K39" s="40"/>
      <c r="L39" s="152"/>
      <c r="M39" s="145"/>
      <c r="N39" s="153"/>
      <c r="O39" s="154"/>
      <c r="P39" s="153"/>
      <c r="Q39" s="49"/>
      <c r="R39" s="132"/>
      <c r="S39" s="132"/>
      <c r="T39" s="43"/>
    </row>
    <row r="40" spans="1:20" s="44" customFormat="1" ht="46.8" hidden="1">
      <c r="A40" s="148" t="s">
        <v>35</v>
      </c>
      <c r="B40" s="58" t="s">
        <v>54</v>
      </c>
      <c r="C40" s="59">
        <v>7915130</v>
      </c>
      <c r="D40" s="72" t="s">
        <v>131</v>
      </c>
      <c r="E40" s="40"/>
      <c r="F40" s="40"/>
      <c r="G40" s="48">
        <v>142.45500000000001</v>
      </c>
      <c r="H40" s="48">
        <f t="shared" si="3"/>
        <v>142.45500000000001</v>
      </c>
      <c r="I40" s="48">
        <v>142.45500000000001</v>
      </c>
      <c r="J40" s="79">
        <f t="shared" si="2"/>
        <v>100</v>
      </c>
      <c r="K40" s="40"/>
      <c r="L40" s="152"/>
      <c r="M40" s="145"/>
      <c r="N40" s="153"/>
      <c r="O40" s="154"/>
      <c r="P40" s="153"/>
      <c r="Q40" s="49"/>
      <c r="R40" s="132"/>
      <c r="S40" s="132"/>
      <c r="T40" s="43"/>
    </row>
    <row r="41" spans="1:20" s="44" customFormat="1" ht="31.2" hidden="1">
      <c r="A41" s="148" t="s">
        <v>35</v>
      </c>
      <c r="B41" s="61" t="s">
        <v>120</v>
      </c>
      <c r="C41" s="60">
        <v>7787686</v>
      </c>
      <c r="D41" s="72" t="s">
        <v>134</v>
      </c>
      <c r="E41" s="40"/>
      <c r="F41" s="40"/>
      <c r="G41" s="48">
        <v>128.327</v>
      </c>
      <c r="H41" s="48">
        <f t="shared" si="3"/>
        <v>128.327</v>
      </c>
      <c r="I41" s="48">
        <f>H41</f>
        <v>128.327</v>
      </c>
      <c r="J41" s="79">
        <f t="shared" si="2"/>
        <v>100</v>
      </c>
      <c r="K41" s="40"/>
      <c r="L41" s="152"/>
      <c r="M41" s="145"/>
      <c r="N41" s="153"/>
      <c r="O41" s="154"/>
      <c r="P41" s="153"/>
      <c r="Q41" s="49"/>
      <c r="R41" s="132"/>
      <c r="S41" s="132"/>
      <c r="T41" s="43"/>
    </row>
    <row r="42" spans="1:20" s="44" customFormat="1" ht="31.2" hidden="1">
      <c r="A42" s="148" t="s">
        <v>35</v>
      </c>
      <c r="B42" s="61" t="s">
        <v>121</v>
      </c>
      <c r="C42" s="60">
        <v>7799183</v>
      </c>
      <c r="D42" s="72" t="s">
        <v>134</v>
      </c>
      <c r="E42" s="40"/>
      <c r="F42" s="40"/>
      <c r="G42" s="48">
        <v>42.063000000000002</v>
      </c>
      <c r="H42" s="48">
        <f t="shared" si="3"/>
        <v>42.063000000000002</v>
      </c>
      <c r="I42" s="48">
        <f t="shared" si="3"/>
        <v>42.063000000000002</v>
      </c>
      <c r="J42" s="79">
        <f t="shared" si="2"/>
        <v>100</v>
      </c>
      <c r="K42" s="40"/>
      <c r="L42" s="152"/>
      <c r="M42" s="145"/>
      <c r="N42" s="153"/>
      <c r="O42" s="154"/>
      <c r="P42" s="153"/>
      <c r="Q42" s="49"/>
      <c r="R42" s="132"/>
      <c r="S42" s="132"/>
      <c r="T42" s="43"/>
    </row>
    <row r="43" spans="1:20" s="44" customFormat="1" ht="16.2" hidden="1">
      <c r="A43" s="148" t="s">
        <v>35</v>
      </c>
      <c r="B43" s="61" t="s">
        <v>46</v>
      </c>
      <c r="C43" s="60">
        <v>7773996</v>
      </c>
      <c r="D43" s="72" t="s">
        <v>134</v>
      </c>
      <c r="E43" s="40"/>
      <c r="F43" s="40"/>
      <c r="G43" s="48">
        <v>24.745000000000001</v>
      </c>
      <c r="H43" s="48">
        <f t="shared" si="3"/>
        <v>24.745000000000001</v>
      </c>
      <c r="I43" s="48">
        <f t="shared" si="3"/>
        <v>24.745000000000001</v>
      </c>
      <c r="J43" s="79">
        <f t="shared" si="2"/>
        <v>100</v>
      </c>
      <c r="K43" s="40"/>
      <c r="L43" s="152"/>
      <c r="M43" s="145"/>
      <c r="N43" s="153"/>
      <c r="O43" s="154"/>
      <c r="P43" s="153"/>
      <c r="Q43" s="49"/>
      <c r="R43" s="132"/>
      <c r="S43" s="132"/>
      <c r="T43" s="43"/>
    </row>
    <row r="44" spans="1:20" s="44" customFormat="1" ht="31.2" hidden="1">
      <c r="A44" s="148" t="s">
        <v>35</v>
      </c>
      <c r="B44" s="61" t="s">
        <v>122</v>
      </c>
      <c r="C44" s="60">
        <v>7820670</v>
      </c>
      <c r="D44" s="72" t="s">
        <v>134</v>
      </c>
      <c r="E44" s="40"/>
      <c r="F44" s="40"/>
      <c r="G44" s="48">
        <v>134.49299999999999</v>
      </c>
      <c r="H44" s="48">
        <f t="shared" si="3"/>
        <v>134.49299999999999</v>
      </c>
      <c r="I44" s="48">
        <f t="shared" si="3"/>
        <v>134.49299999999999</v>
      </c>
      <c r="J44" s="79">
        <f t="shared" si="2"/>
        <v>100</v>
      </c>
      <c r="K44" s="40"/>
      <c r="L44" s="152"/>
      <c r="M44" s="145"/>
      <c r="N44" s="153"/>
      <c r="O44" s="154"/>
      <c r="P44" s="153"/>
      <c r="Q44" s="49"/>
      <c r="R44" s="132"/>
      <c r="S44" s="132"/>
      <c r="T44" s="43"/>
    </row>
    <row r="45" spans="1:20" s="44" customFormat="1" ht="31.2" hidden="1">
      <c r="A45" s="148" t="s">
        <v>35</v>
      </c>
      <c r="B45" s="61" t="s">
        <v>123</v>
      </c>
      <c r="C45" s="60">
        <v>7836983</v>
      </c>
      <c r="D45" s="72" t="s">
        <v>134</v>
      </c>
      <c r="E45" s="40"/>
      <c r="F45" s="40"/>
      <c r="G45" s="48">
        <v>253.70099999999999</v>
      </c>
      <c r="H45" s="48">
        <f t="shared" si="3"/>
        <v>253.70099999999999</v>
      </c>
      <c r="I45" s="48">
        <f t="shared" si="3"/>
        <v>253.70099999999999</v>
      </c>
      <c r="J45" s="79">
        <f t="shared" si="2"/>
        <v>100</v>
      </c>
      <c r="K45" s="40"/>
      <c r="L45" s="152"/>
      <c r="M45" s="145"/>
      <c r="N45" s="153"/>
      <c r="O45" s="154"/>
      <c r="P45" s="153"/>
      <c r="Q45" s="49"/>
      <c r="R45" s="132"/>
      <c r="S45" s="132"/>
      <c r="T45" s="43"/>
    </row>
    <row r="46" spans="1:20" s="44" customFormat="1" ht="16.2" hidden="1">
      <c r="A46" s="148" t="s">
        <v>35</v>
      </c>
      <c r="B46" s="61" t="s">
        <v>124</v>
      </c>
      <c r="C46" s="60">
        <v>7774826</v>
      </c>
      <c r="D46" s="72" t="s">
        <v>134</v>
      </c>
      <c r="E46" s="40"/>
      <c r="F46" s="40"/>
      <c r="G46" s="48">
        <v>128.875</v>
      </c>
      <c r="H46" s="48">
        <f t="shared" si="3"/>
        <v>128.875</v>
      </c>
      <c r="I46" s="48">
        <f t="shared" si="3"/>
        <v>128.875</v>
      </c>
      <c r="J46" s="79">
        <f t="shared" si="2"/>
        <v>100</v>
      </c>
      <c r="K46" s="40"/>
      <c r="L46" s="152"/>
      <c r="M46" s="145"/>
      <c r="N46" s="153"/>
      <c r="O46" s="154"/>
      <c r="P46" s="153"/>
      <c r="Q46" s="49"/>
      <c r="R46" s="132"/>
      <c r="S46" s="132"/>
      <c r="T46" s="43"/>
    </row>
    <row r="47" spans="1:20" s="44" customFormat="1" ht="16.2" hidden="1">
      <c r="A47" s="148">
        <v>2</v>
      </c>
      <c r="B47" s="149" t="s">
        <v>61</v>
      </c>
      <c r="C47" s="150"/>
      <c r="D47" s="72"/>
      <c r="E47" s="40"/>
      <c r="F47" s="40"/>
      <c r="G47" s="41">
        <v>100</v>
      </c>
      <c r="H47" s="40"/>
      <c r="I47" s="40"/>
      <c r="J47" s="152">
        <f t="shared" si="2"/>
        <v>0</v>
      </c>
      <c r="K47" s="40"/>
      <c r="L47" s="152"/>
      <c r="M47" s="145" t="s">
        <v>135</v>
      </c>
      <c r="N47" s="153"/>
      <c r="O47" s="154"/>
      <c r="P47" s="153"/>
      <c r="Q47" s="49"/>
      <c r="R47" s="132">
        <f t="shared" si="0"/>
        <v>0</v>
      </c>
      <c r="S47" s="132">
        <f t="shared" si="1"/>
        <v>100</v>
      </c>
      <c r="T47" s="43"/>
    </row>
    <row r="48" spans="1:20" s="63" customFormat="1" ht="25.2" hidden="1" customHeight="1">
      <c r="A48" s="145" t="s">
        <v>40</v>
      </c>
      <c r="B48" s="156" t="s">
        <v>127</v>
      </c>
      <c r="C48" s="157"/>
      <c r="D48" s="158"/>
      <c r="E48" s="62">
        <f>SUM(E49:E54)</f>
        <v>8807.505000000001</v>
      </c>
      <c r="F48" s="62">
        <f>SUM(F49:F54)</f>
        <v>3076.2</v>
      </c>
      <c r="G48" s="62">
        <f>SUM(G49:G54)</f>
        <v>5497.8</v>
      </c>
      <c r="H48" s="62">
        <f>SUM(H49:H54)</f>
        <v>5065</v>
      </c>
      <c r="I48" s="62">
        <f>SUM(I49:I54)</f>
        <v>3493.8590000000004</v>
      </c>
      <c r="J48" s="126">
        <f t="shared" si="2"/>
        <v>63.550129142566128</v>
      </c>
      <c r="K48" s="62">
        <f>SUM(K49:K54)</f>
        <v>4860.8779999999997</v>
      </c>
      <c r="L48" s="126">
        <f t="shared" ref="L48:L54" si="4">K48/G48*100</f>
        <v>88.414965986394549</v>
      </c>
      <c r="M48" s="37"/>
      <c r="N48" s="128"/>
      <c r="O48" s="109"/>
      <c r="P48" s="159">
        <f t="shared" ref="P48:P61" si="5">K48-G48</f>
        <v>-636.92200000000048</v>
      </c>
      <c r="Q48" s="42"/>
      <c r="R48" s="132">
        <f t="shared" si="0"/>
        <v>1571.1409999999996</v>
      </c>
      <c r="S48" s="132">
        <f t="shared" si="1"/>
        <v>432.80000000000018</v>
      </c>
      <c r="T48" s="21"/>
    </row>
    <row r="49" spans="1:24" s="136" customFormat="1" ht="46.8" hidden="1">
      <c r="A49" s="131">
        <v>1</v>
      </c>
      <c r="B49" s="57" t="s">
        <v>72</v>
      </c>
      <c r="C49" s="60">
        <v>7888659</v>
      </c>
      <c r="D49" s="47" t="s">
        <v>132</v>
      </c>
      <c r="E49" s="67">
        <v>1833.5050000000001</v>
      </c>
      <c r="F49" s="67">
        <v>600</v>
      </c>
      <c r="G49" s="64">
        <v>1000</v>
      </c>
      <c r="H49" s="65">
        <v>800</v>
      </c>
      <c r="I49" s="65">
        <v>38.414999999999999</v>
      </c>
      <c r="J49" s="79">
        <f t="shared" si="2"/>
        <v>3.8414999999999999</v>
      </c>
      <c r="K49" s="65">
        <f>H49</f>
        <v>800</v>
      </c>
      <c r="L49" s="79">
        <f t="shared" si="4"/>
        <v>80</v>
      </c>
      <c r="M49" s="155" t="s">
        <v>126</v>
      </c>
      <c r="N49" s="113"/>
      <c r="O49" s="116"/>
      <c r="P49" s="84">
        <f t="shared" si="5"/>
        <v>-200</v>
      </c>
      <c r="Q49" s="66"/>
      <c r="R49" s="132">
        <f t="shared" si="0"/>
        <v>761.58500000000004</v>
      </c>
      <c r="S49" s="132">
        <f t="shared" si="1"/>
        <v>200</v>
      </c>
      <c r="T49" s="135"/>
    </row>
    <row r="50" spans="1:24" s="14" customFormat="1" ht="31.2" hidden="1">
      <c r="A50" s="131">
        <v>2</v>
      </c>
      <c r="B50" s="57" t="s">
        <v>73</v>
      </c>
      <c r="C50" s="60">
        <v>7882222</v>
      </c>
      <c r="D50" s="47" t="s">
        <v>132</v>
      </c>
      <c r="E50" s="67">
        <v>550</v>
      </c>
      <c r="F50" s="67">
        <v>200</v>
      </c>
      <c r="G50" s="64">
        <v>350</v>
      </c>
      <c r="H50" s="65">
        <v>350</v>
      </c>
      <c r="I50" s="65">
        <v>342.976</v>
      </c>
      <c r="J50" s="79">
        <f t="shared" si="2"/>
        <v>97.993142857142857</v>
      </c>
      <c r="K50" s="65">
        <f>H50</f>
        <v>350</v>
      </c>
      <c r="L50" s="79">
        <f t="shared" si="4"/>
        <v>100</v>
      </c>
      <c r="M50" s="155" t="s">
        <v>148</v>
      </c>
      <c r="N50" s="113"/>
      <c r="O50" s="116"/>
      <c r="P50" s="84">
        <f t="shared" si="5"/>
        <v>0</v>
      </c>
      <c r="Q50" s="66"/>
      <c r="R50" s="132">
        <f t="shared" si="0"/>
        <v>7.0240000000000009</v>
      </c>
      <c r="S50" s="132">
        <f t="shared" si="1"/>
        <v>0</v>
      </c>
      <c r="T50" s="22"/>
    </row>
    <row r="51" spans="1:24" s="14" customFormat="1" hidden="1">
      <c r="A51" s="131">
        <v>3</v>
      </c>
      <c r="B51" s="57" t="s">
        <v>42</v>
      </c>
      <c r="C51" s="60">
        <v>7886106</v>
      </c>
      <c r="D51" s="47" t="s">
        <v>132</v>
      </c>
      <c r="E51" s="67">
        <v>2000</v>
      </c>
      <c r="F51" s="67">
        <f>226.2+400</f>
        <v>626.20000000000005</v>
      </c>
      <c r="G51" s="67">
        <f>E51-F51</f>
        <v>1373.8</v>
      </c>
      <c r="H51" s="65">
        <v>1300</v>
      </c>
      <c r="I51" s="65">
        <v>1240.923</v>
      </c>
      <c r="J51" s="79">
        <f t="shared" si="2"/>
        <v>90.327776968991131</v>
      </c>
      <c r="K51" s="65">
        <f>H51</f>
        <v>1300</v>
      </c>
      <c r="L51" s="79">
        <f t="shared" si="4"/>
        <v>94.628039015868396</v>
      </c>
      <c r="M51" s="155" t="s">
        <v>126</v>
      </c>
      <c r="N51" s="113"/>
      <c r="O51" s="116"/>
      <c r="P51" s="84">
        <f t="shared" si="5"/>
        <v>-73.799999999999955</v>
      </c>
      <c r="Q51" s="66"/>
      <c r="R51" s="132">
        <f t="shared" si="0"/>
        <v>59.076999999999998</v>
      </c>
      <c r="S51" s="132">
        <f t="shared" si="1"/>
        <v>73.799999999999955</v>
      </c>
      <c r="T51" s="22"/>
    </row>
    <row r="52" spans="1:24" s="14" customFormat="1" ht="31.2" hidden="1">
      <c r="A52" s="131">
        <v>4</v>
      </c>
      <c r="B52" s="57" t="s">
        <v>43</v>
      </c>
      <c r="C52" s="60">
        <v>7929248</v>
      </c>
      <c r="D52" s="72" t="s">
        <v>136</v>
      </c>
      <c r="E52" s="64">
        <v>459</v>
      </c>
      <c r="F52" s="64">
        <v>150</v>
      </c>
      <c r="G52" s="67">
        <f>E52-F52</f>
        <v>309</v>
      </c>
      <c r="H52" s="65">
        <v>300</v>
      </c>
      <c r="I52" s="65">
        <v>299.66699999999997</v>
      </c>
      <c r="J52" s="79">
        <f t="shared" si="2"/>
        <v>96.979611650485424</v>
      </c>
      <c r="K52" s="65">
        <v>839</v>
      </c>
      <c r="L52" s="79">
        <f t="shared" si="4"/>
        <v>271.52103559870551</v>
      </c>
      <c r="M52" s="155" t="s">
        <v>148</v>
      </c>
      <c r="N52" s="113"/>
      <c r="O52" s="116"/>
      <c r="P52" s="84">
        <f t="shared" si="5"/>
        <v>530</v>
      </c>
      <c r="Q52" s="66"/>
      <c r="R52" s="132">
        <f t="shared" si="0"/>
        <v>0.33300000000002683</v>
      </c>
      <c r="S52" s="132">
        <f t="shared" si="1"/>
        <v>9</v>
      </c>
      <c r="T52" s="22"/>
    </row>
    <row r="53" spans="1:24" s="14" customFormat="1" ht="46.8" hidden="1">
      <c r="A53" s="131">
        <v>5</v>
      </c>
      <c r="B53" s="57" t="s">
        <v>5</v>
      </c>
      <c r="C53" s="60">
        <v>7004686</v>
      </c>
      <c r="D53" s="72" t="s">
        <v>130</v>
      </c>
      <c r="E53" s="64">
        <v>965</v>
      </c>
      <c r="F53" s="64">
        <v>500</v>
      </c>
      <c r="G53" s="67">
        <f>E53-F53</f>
        <v>465</v>
      </c>
      <c r="H53" s="65">
        <v>465</v>
      </c>
      <c r="I53" s="65">
        <f>465-5.643</f>
        <v>459.35700000000003</v>
      </c>
      <c r="J53" s="79">
        <f t="shared" si="2"/>
        <v>98.786451612903235</v>
      </c>
      <c r="K53" s="65">
        <f>I53</f>
        <v>459.35700000000003</v>
      </c>
      <c r="L53" s="79">
        <f t="shared" si="4"/>
        <v>98.786451612903235</v>
      </c>
      <c r="M53" s="155" t="s">
        <v>148</v>
      </c>
      <c r="N53" s="113"/>
      <c r="O53" s="116"/>
      <c r="P53" s="84">
        <f t="shared" si="5"/>
        <v>-5.6429999999999723</v>
      </c>
      <c r="Q53" s="66"/>
      <c r="R53" s="132">
        <f t="shared" si="0"/>
        <v>5.6429999999999723</v>
      </c>
      <c r="S53" s="132">
        <f t="shared" si="1"/>
        <v>0</v>
      </c>
      <c r="T53" s="22"/>
    </row>
    <row r="54" spans="1:24" s="14" customFormat="1" hidden="1">
      <c r="A54" s="131">
        <v>6</v>
      </c>
      <c r="B54" s="68" t="s">
        <v>45</v>
      </c>
      <c r="C54" s="56">
        <v>7910696</v>
      </c>
      <c r="D54" s="47" t="s">
        <v>132</v>
      </c>
      <c r="E54" s="67">
        <v>3000</v>
      </c>
      <c r="F54" s="67">
        <v>1000</v>
      </c>
      <c r="G54" s="67">
        <v>2000</v>
      </c>
      <c r="H54" s="65">
        <v>1850</v>
      </c>
      <c r="I54" s="65">
        <f>896.968+215.553</f>
        <v>1112.521</v>
      </c>
      <c r="J54" s="79">
        <f t="shared" si="2"/>
        <v>55.626049999999992</v>
      </c>
      <c r="K54" s="65">
        <f>I54</f>
        <v>1112.521</v>
      </c>
      <c r="L54" s="79">
        <f t="shared" si="4"/>
        <v>55.626049999999992</v>
      </c>
      <c r="M54" s="155" t="s">
        <v>126</v>
      </c>
      <c r="N54" s="113"/>
      <c r="O54" s="116"/>
      <c r="P54" s="84">
        <f t="shared" si="5"/>
        <v>-887.47900000000004</v>
      </c>
      <c r="Q54" s="66"/>
      <c r="R54" s="132">
        <f t="shared" si="0"/>
        <v>737.47900000000004</v>
      </c>
      <c r="S54" s="132">
        <f t="shared" si="1"/>
        <v>150</v>
      </c>
      <c r="T54" s="22"/>
    </row>
    <row r="55" spans="1:24" s="14" customFormat="1" ht="22.2" hidden="1" customHeight="1">
      <c r="A55" s="160" t="s">
        <v>62</v>
      </c>
      <c r="B55" s="69" t="s">
        <v>63</v>
      </c>
      <c r="C55" s="70"/>
      <c r="D55" s="56"/>
      <c r="E55" s="161">
        <f>E56</f>
        <v>8800</v>
      </c>
      <c r="F55" s="161">
        <f>F56</f>
        <v>0</v>
      </c>
      <c r="G55" s="161">
        <f>G56</f>
        <v>870</v>
      </c>
      <c r="H55" s="71"/>
      <c r="I55" s="71"/>
      <c r="J55" s="79">
        <f t="shared" si="2"/>
        <v>0</v>
      </c>
      <c r="K55" s="65"/>
      <c r="L55" s="79"/>
      <c r="M55" s="155"/>
      <c r="N55" s="113"/>
      <c r="O55" s="116"/>
      <c r="P55" s="84"/>
      <c r="Q55" s="66"/>
      <c r="R55" s="132">
        <f t="shared" si="0"/>
        <v>0</v>
      </c>
      <c r="S55" s="132">
        <f t="shared" si="1"/>
        <v>870</v>
      </c>
      <c r="T55" s="22"/>
    </row>
    <row r="56" spans="1:24" s="14" customFormat="1" ht="62.4" hidden="1">
      <c r="A56" s="131" t="s">
        <v>53</v>
      </c>
      <c r="B56" s="57" t="s">
        <v>75</v>
      </c>
      <c r="C56" s="56">
        <v>7949793</v>
      </c>
      <c r="D56" s="47" t="s">
        <v>132</v>
      </c>
      <c r="E56" s="67">
        <v>8800</v>
      </c>
      <c r="F56" s="67"/>
      <c r="G56" s="67">
        <v>870</v>
      </c>
      <c r="H56" s="71"/>
      <c r="I56" s="71"/>
      <c r="J56" s="79">
        <f t="shared" si="2"/>
        <v>0</v>
      </c>
      <c r="K56" s="65"/>
      <c r="L56" s="79"/>
      <c r="M56" s="72" t="s">
        <v>149</v>
      </c>
      <c r="N56" s="113"/>
      <c r="O56" s="116"/>
      <c r="P56" s="84"/>
      <c r="Q56" s="66"/>
      <c r="R56" s="132">
        <f t="shared" si="0"/>
        <v>0</v>
      </c>
      <c r="S56" s="132">
        <f t="shared" si="1"/>
        <v>870</v>
      </c>
      <c r="T56" s="22"/>
    </row>
    <row r="57" spans="1:24" s="63" customFormat="1" ht="21" hidden="1" customHeight="1">
      <c r="A57" s="162" t="s">
        <v>64</v>
      </c>
      <c r="B57" s="146" t="s">
        <v>12</v>
      </c>
      <c r="C57" s="147"/>
      <c r="D57" s="72"/>
      <c r="E57" s="62">
        <f>SUM(E58:E62)</f>
        <v>3950</v>
      </c>
      <c r="F57" s="62">
        <f>SUM(F58:F62)</f>
        <v>0</v>
      </c>
      <c r="G57" s="62">
        <f>SUM(G58:G62)</f>
        <v>2000</v>
      </c>
      <c r="H57" s="62">
        <f>SUM(H58:H62)</f>
        <v>1741.8140000000001</v>
      </c>
      <c r="I57" s="62">
        <f>SUM(I58:I62)</f>
        <v>1345.2350000000001</v>
      </c>
      <c r="J57" s="126">
        <f t="shared" si="2"/>
        <v>67.261750000000006</v>
      </c>
      <c r="K57" s="62">
        <f>SUM(K58:K62)</f>
        <v>1760.248</v>
      </c>
      <c r="L57" s="126">
        <f>K57/G57*100</f>
        <v>88.0124</v>
      </c>
      <c r="M57" s="155"/>
      <c r="N57" s="109"/>
      <c r="O57" s="128"/>
      <c r="P57" s="84">
        <f t="shared" si="5"/>
        <v>-239.75199999999995</v>
      </c>
      <c r="Q57" s="66"/>
      <c r="R57" s="132">
        <f t="shared" si="0"/>
        <v>396.57899999999995</v>
      </c>
      <c r="S57" s="132">
        <f t="shared" si="1"/>
        <v>258.18599999999992</v>
      </c>
      <c r="T57" s="21"/>
    </row>
    <row r="58" spans="1:24" s="17" customFormat="1" hidden="1">
      <c r="A58" s="131">
        <v>1</v>
      </c>
      <c r="B58" s="73" t="s">
        <v>65</v>
      </c>
      <c r="C58" s="24">
        <v>7941457</v>
      </c>
      <c r="D58" s="47" t="s">
        <v>132</v>
      </c>
      <c r="E58" s="74">
        <v>500</v>
      </c>
      <c r="F58" s="67"/>
      <c r="G58" s="74">
        <v>300</v>
      </c>
      <c r="H58" s="48">
        <v>300</v>
      </c>
      <c r="I58" s="48">
        <v>175.994</v>
      </c>
      <c r="J58" s="79">
        <f t="shared" si="2"/>
        <v>58.664666666666662</v>
      </c>
      <c r="K58" s="65">
        <f>G58</f>
        <v>300</v>
      </c>
      <c r="L58" s="79">
        <f>K58/G58*100</f>
        <v>100</v>
      </c>
      <c r="M58" s="155" t="s">
        <v>126</v>
      </c>
      <c r="N58" s="116"/>
      <c r="O58" s="66"/>
      <c r="P58" s="84">
        <f t="shared" si="5"/>
        <v>0</v>
      </c>
      <c r="Q58" s="66"/>
      <c r="R58" s="132">
        <f t="shared" si="0"/>
        <v>124.006</v>
      </c>
      <c r="S58" s="132">
        <f t="shared" si="1"/>
        <v>0</v>
      </c>
      <c r="T58" s="76"/>
    </row>
    <row r="59" spans="1:24" s="17" customFormat="1" ht="31.2" hidden="1">
      <c r="A59" s="131">
        <v>2</v>
      </c>
      <c r="B59" s="73" t="s">
        <v>66</v>
      </c>
      <c r="C59" s="24">
        <v>7933150</v>
      </c>
      <c r="D59" s="47" t="s">
        <v>132</v>
      </c>
      <c r="E59" s="74">
        <v>700</v>
      </c>
      <c r="F59" s="67"/>
      <c r="G59" s="74">
        <v>300</v>
      </c>
      <c r="H59" s="48">
        <v>300</v>
      </c>
      <c r="I59" s="48">
        <v>243.58500000000001</v>
      </c>
      <c r="J59" s="79">
        <f t="shared" si="2"/>
        <v>81.195000000000007</v>
      </c>
      <c r="K59" s="65">
        <f>G59</f>
        <v>300</v>
      </c>
      <c r="L59" s="79">
        <f>K59/G59*100</f>
        <v>100</v>
      </c>
      <c r="M59" s="155" t="s">
        <v>126</v>
      </c>
      <c r="N59" s="116"/>
      <c r="O59" s="66"/>
      <c r="P59" s="84">
        <f t="shared" si="5"/>
        <v>0</v>
      </c>
      <c r="Q59" s="66"/>
      <c r="R59" s="132">
        <f t="shared" si="0"/>
        <v>56.414999999999992</v>
      </c>
      <c r="S59" s="132">
        <f t="shared" si="1"/>
        <v>0</v>
      </c>
      <c r="T59" s="76"/>
    </row>
    <row r="60" spans="1:24" s="136" customFormat="1" ht="31.2" hidden="1">
      <c r="A60" s="131">
        <v>3</v>
      </c>
      <c r="B60" s="73" t="s">
        <v>67</v>
      </c>
      <c r="C60" s="24">
        <v>7949787</v>
      </c>
      <c r="D60" s="47" t="s">
        <v>132</v>
      </c>
      <c r="E60" s="74">
        <v>1000</v>
      </c>
      <c r="F60" s="67"/>
      <c r="G60" s="74">
        <v>550</v>
      </c>
      <c r="H60" s="48">
        <v>341.81400000000002</v>
      </c>
      <c r="I60" s="48">
        <v>310.24799999999999</v>
      </c>
      <c r="J60" s="79">
        <f t="shared" si="2"/>
        <v>56.408727272727269</v>
      </c>
      <c r="K60" s="65">
        <f>I60</f>
        <v>310.24799999999999</v>
      </c>
      <c r="L60" s="79">
        <f>K60/G60*100</f>
        <v>56.408727272727269</v>
      </c>
      <c r="M60" s="155" t="s">
        <v>126</v>
      </c>
      <c r="N60" s="75"/>
      <c r="O60" s="17" t="s">
        <v>156</v>
      </c>
      <c r="P60" s="84">
        <f t="shared" si="5"/>
        <v>-239.75200000000001</v>
      </c>
      <c r="Q60" s="42"/>
      <c r="R60" s="132">
        <f t="shared" si="0"/>
        <v>31.566000000000031</v>
      </c>
      <c r="S60" s="132">
        <f t="shared" si="1"/>
        <v>208.18599999999998</v>
      </c>
      <c r="T60" s="135"/>
    </row>
    <row r="61" spans="1:24" s="17" customFormat="1" ht="31.2" hidden="1">
      <c r="A61" s="131">
        <v>4</v>
      </c>
      <c r="B61" s="73" t="s">
        <v>68</v>
      </c>
      <c r="C61" s="24">
        <v>7949788</v>
      </c>
      <c r="D61" s="47" t="s">
        <v>132</v>
      </c>
      <c r="E61" s="74">
        <v>1050</v>
      </c>
      <c r="F61" s="67"/>
      <c r="G61" s="74">
        <v>550</v>
      </c>
      <c r="H61" s="77">
        <v>550</v>
      </c>
      <c r="I61" s="77">
        <v>368.428</v>
      </c>
      <c r="J61" s="79">
        <f t="shared" si="2"/>
        <v>66.98690909090908</v>
      </c>
      <c r="K61" s="65">
        <f>G61</f>
        <v>550</v>
      </c>
      <c r="L61" s="79">
        <f>K61/G61*100</f>
        <v>100</v>
      </c>
      <c r="M61" s="155" t="s">
        <v>126</v>
      </c>
      <c r="N61" s="75"/>
      <c r="O61" s="113" t="s">
        <v>156</v>
      </c>
      <c r="P61" s="84">
        <f t="shared" si="5"/>
        <v>0</v>
      </c>
      <c r="Q61" s="42"/>
      <c r="R61" s="132">
        <f t="shared" si="0"/>
        <v>181.572</v>
      </c>
      <c r="S61" s="132">
        <f t="shared" si="1"/>
        <v>0</v>
      </c>
      <c r="T61" s="76"/>
    </row>
    <row r="62" spans="1:24" s="14" customFormat="1" ht="31.2" hidden="1">
      <c r="A62" s="131">
        <v>5</v>
      </c>
      <c r="B62" s="73" t="s">
        <v>69</v>
      </c>
      <c r="C62" s="24">
        <v>7933149</v>
      </c>
      <c r="D62" s="47" t="s">
        <v>132</v>
      </c>
      <c r="E62" s="74">
        <v>700</v>
      </c>
      <c r="F62" s="67"/>
      <c r="G62" s="74">
        <v>300</v>
      </c>
      <c r="H62" s="78">
        <v>250</v>
      </c>
      <c r="I62" s="78">
        <v>246.98</v>
      </c>
      <c r="J62" s="79">
        <f>I62/G62*100</f>
        <v>82.326666666666654</v>
      </c>
      <c r="K62" s="65">
        <f>G62</f>
        <v>300</v>
      </c>
      <c r="L62" s="79"/>
      <c r="M62" s="155" t="s">
        <v>126</v>
      </c>
      <c r="N62" s="75"/>
      <c r="O62" s="66"/>
      <c r="P62" s="84"/>
      <c r="Q62" s="42"/>
      <c r="R62" s="132">
        <f t="shared" si="0"/>
        <v>3.0200000000000102</v>
      </c>
      <c r="S62" s="132">
        <f t="shared" si="1"/>
        <v>50</v>
      </c>
      <c r="T62" s="22"/>
    </row>
    <row r="63" spans="1:24" s="14" customFormat="1" ht="33" customHeight="1">
      <c r="A63" s="131"/>
      <c r="B63" s="205" t="s">
        <v>170</v>
      </c>
      <c r="C63" s="24"/>
      <c r="D63" s="47"/>
      <c r="E63" s="206">
        <f>E64+E101</f>
        <v>18416.539000000001</v>
      </c>
      <c r="F63" s="206">
        <f>F64+F101</f>
        <v>8528.5339999999997</v>
      </c>
      <c r="G63" s="206">
        <f>G64+G101+G104</f>
        <v>6800</v>
      </c>
      <c r="H63" s="206">
        <f>H64+H101+H104</f>
        <v>3161.7260000000001</v>
      </c>
      <c r="I63" s="74">
        <f>I64+I101</f>
        <v>0</v>
      </c>
      <c r="J63" s="79"/>
      <c r="K63" s="65"/>
      <c r="L63" s="79"/>
      <c r="M63" s="155"/>
      <c r="N63" s="75"/>
      <c r="O63" s="66"/>
      <c r="P63" s="84"/>
      <c r="Q63" s="42"/>
      <c r="R63" s="132"/>
      <c r="S63" s="132"/>
      <c r="T63" s="22"/>
      <c r="V63" s="219"/>
      <c r="X63" s="219"/>
    </row>
    <row r="64" spans="1:24" s="63" customFormat="1" ht="39" customHeight="1">
      <c r="A64" s="144" t="s">
        <v>9</v>
      </c>
      <c r="B64" s="118" t="s">
        <v>169</v>
      </c>
      <c r="C64" s="119"/>
      <c r="D64" s="72"/>
      <c r="E64" s="62">
        <f>E65+E69</f>
        <v>18416.539000000001</v>
      </c>
      <c r="F64" s="62">
        <f>F65+F69</f>
        <v>8528.5339999999997</v>
      </c>
      <c r="G64" s="62">
        <f>G65+G69</f>
        <v>6800</v>
      </c>
      <c r="H64" s="62">
        <f>H65+H69</f>
        <v>2635</v>
      </c>
      <c r="I64" s="62">
        <f>I65+I69</f>
        <v>0</v>
      </c>
      <c r="J64" s="126">
        <f t="shared" si="2"/>
        <v>0</v>
      </c>
      <c r="K64" s="62">
        <f>K65+K69</f>
        <v>0</v>
      </c>
      <c r="L64" s="126">
        <f>K64/G64*100</f>
        <v>0</v>
      </c>
      <c r="M64" s="109"/>
      <c r="N64" s="109"/>
      <c r="O64" s="66"/>
      <c r="P64" s="159">
        <f t="shared" ref="P64:P96" si="6">K64-G64</f>
        <v>-6800</v>
      </c>
      <c r="Q64" s="34" t="s">
        <v>87</v>
      </c>
      <c r="R64" s="132">
        <f t="shared" si="0"/>
        <v>2635</v>
      </c>
      <c r="S64" s="132">
        <f t="shared" si="1"/>
        <v>4165</v>
      </c>
      <c r="T64" s="21"/>
    </row>
    <row r="65" spans="1:24" s="51" customFormat="1" ht="25.2" customHeight="1">
      <c r="A65" s="162" t="s">
        <v>39</v>
      </c>
      <c r="B65" s="156" t="s">
        <v>127</v>
      </c>
      <c r="C65" s="157"/>
      <c r="D65" s="150"/>
      <c r="E65" s="40">
        <f>SUM(E66:E68)</f>
        <v>18416.539000000001</v>
      </c>
      <c r="F65" s="40">
        <f>SUM(F66:F68)</f>
        <v>8528.5339999999997</v>
      </c>
      <c r="G65" s="40">
        <f>SUM(G66:G68)</f>
        <v>6800</v>
      </c>
      <c r="H65" s="40">
        <f>SUM(H66:H68)</f>
        <v>2485</v>
      </c>
      <c r="I65" s="40">
        <f>SUM(I66:I68)</f>
        <v>0</v>
      </c>
      <c r="J65" s="152">
        <f t="shared" si="2"/>
        <v>0</v>
      </c>
      <c r="K65" s="40">
        <f>SUM(K66:K68)</f>
        <v>0</v>
      </c>
      <c r="L65" s="152">
        <f>K65/G65*100</f>
        <v>0</v>
      </c>
      <c r="M65" s="154"/>
      <c r="N65" s="154"/>
      <c r="O65" s="153"/>
      <c r="P65" s="207">
        <f t="shared" si="6"/>
        <v>-6800</v>
      </c>
      <c r="Q65" s="81"/>
      <c r="R65" s="166">
        <f t="shared" si="0"/>
        <v>2485</v>
      </c>
      <c r="S65" s="166">
        <f t="shared" si="1"/>
        <v>4315</v>
      </c>
      <c r="T65" s="50"/>
    </row>
    <row r="66" spans="1:24" s="22" customFormat="1" ht="52.2" customHeight="1">
      <c r="A66" s="233" t="s">
        <v>53</v>
      </c>
      <c r="B66" s="9" t="s">
        <v>70</v>
      </c>
      <c r="C66" s="186">
        <v>7995847</v>
      </c>
      <c r="D66" s="47" t="s">
        <v>132</v>
      </c>
      <c r="E66" s="67">
        <v>1916.539</v>
      </c>
      <c r="F66" s="322">
        <v>5500</v>
      </c>
      <c r="G66" s="261">
        <v>2800</v>
      </c>
      <c r="H66" s="163">
        <v>2485</v>
      </c>
      <c r="I66" s="113"/>
      <c r="J66" s="126"/>
      <c r="K66" s="80" t="s">
        <v>141</v>
      </c>
      <c r="L66" s="80"/>
      <c r="M66" s="56"/>
      <c r="N66" s="113"/>
      <c r="O66" s="113"/>
      <c r="P66" s="113"/>
      <c r="Q66" s="42"/>
      <c r="R66" s="132">
        <f t="shared" si="0"/>
        <v>2485</v>
      </c>
      <c r="S66" s="132">
        <f t="shared" si="1"/>
        <v>315</v>
      </c>
    </row>
    <row r="67" spans="1:24" s="22" customFormat="1" ht="49.2" customHeight="1">
      <c r="A67" s="218">
        <v>2</v>
      </c>
      <c r="B67" s="80" t="s">
        <v>83</v>
      </c>
      <c r="C67" s="56">
        <v>7927383</v>
      </c>
      <c r="D67" s="47" t="s">
        <v>132</v>
      </c>
      <c r="E67" s="67">
        <v>15000</v>
      </c>
      <c r="F67" s="322">
        <v>2028.5340000000001</v>
      </c>
      <c r="G67" s="261">
        <v>2000</v>
      </c>
      <c r="H67" s="163"/>
      <c r="I67" s="113"/>
      <c r="J67" s="126">
        <f t="shared" si="2"/>
        <v>0</v>
      </c>
      <c r="K67" s="113"/>
      <c r="L67" s="113"/>
      <c r="M67" s="155"/>
      <c r="N67" s="113"/>
      <c r="O67" s="113"/>
      <c r="P67" s="113"/>
      <c r="Q67" s="42"/>
      <c r="R67" s="132">
        <f t="shared" si="0"/>
        <v>0</v>
      </c>
      <c r="S67" s="132">
        <f t="shared" si="1"/>
        <v>2000</v>
      </c>
    </row>
    <row r="68" spans="1:24" s="22" customFormat="1" ht="64.8" customHeight="1">
      <c r="A68" s="218">
        <v>3</v>
      </c>
      <c r="B68" s="80" t="s">
        <v>84</v>
      </c>
      <c r="C68" s="56">
        <v>7929843</v>
      </c>
      <c r="D68" s="47" t="s">
        <v>132</v>
      </c>
      <c r="E68" s="67">
        <v>1500</v>
      </c>
      <c r="F68" s="322">
        <v>1000</v>
      </c>
      <c r="G68" s="261">
        <v>2000</v>
      </c>
      <c r="H68" s="187"/>
      <c r="I68" s="113"/>
      <c r="J68" s="126">
        <f t="shared" si="2"/>
        <v>0</v>
      </c>
      <c r="K68" s="113"/>
      <c r="L68" s="113"/>
      <c r="M68" s="56"/>
      <c r="N68" s="113"/>
      <c r="O68" s="113"/>
      <c r="P68" s="113"/>
      <c r="Q68" s="42"/>
      <c r="R68" s="132">
        <f t="shared" si="0"/>
        <v>0</v>
      </c>
      <c r="S68" s="132">
        <f t="shared" si="1"/>
        <v>2000</v>
      </c>
    </row>
    <row r="69" spans="1:24" s="51" customFormat="1" ht="24" customHeight="1">
      <c r="A69" s="162" t="s">
        <v>40</v>
      </c>
      <c r="B69" s="146" t="s">
        <v>12</v>
      </c>
      <c r="C69" s="147"/>
      <c r="D69" s="72"/>
      <c r="E69" s="40">
        <f>SUM(E70:E71)</f>
        <v>0</v>
      </c>
      <c r="F69" s="40">
        <f>SUM(F70:F71)</f>
        <v>0</v>
      </c>
      <c r="G69" s="40">
        <f>SUM(G70:G71)</f>
        <v>0</v>
      </c>
      <c r="H69" s="40">
        <f>SUM(H70:H71)</f>
        <v>150</v>
      </c>
      <c r="I69" s="40">
        <f>SUM(I70:I71)</f>
        <v>0</v>
      </c>
      <c r="J69" s="151" t="e">
        <f t="shared" si="2"/>
        <v>#DIV/0!</v>
      </c>
      <c r="K69" s="40">
        <f>SUM(K70:K71)</f>
        <v>0</v>
      </c>
      <c r="L69" s="151" t="e">
        <f t="shared" ref="L69:L84" si="7">K69/G69*100</f>
        <v>#DIV/0!</v>
      </c>
      <c r="M69" s="154"/>
      <c r="N69" s="154"/>
      <c r="O69" s="153"/>
      <c r="P69" s="165">
        <f t="shared" si="6"/>
        <v>0</v>
      </c>
      <c r="Q69" s="81"/>
      <c r="R69" s="166">
        <f t="shared" si="0"/>
        <v>150</v>
      </c>
      <c r="S69" s="166">
        <f t="shared" si="1"/>
        <v>-150</v>
      </c>
      <c r="T69" s="50"/>
    </row>
    <row r="70" spans="1:24" s="14" customFormat="1" ht="28.8" customHeight="1">
      <c r="A70" s="180">
        <v>3</v>
      </c>
      <c r="B70" s="80" t="s">
        <v>601</v>
      </c>
      <c r="C70" s="215"/>
      <c r="D70" s="216"/>
      <c r="E70" s="181"/>
      <c r="F70" s="182"/>
      <c r="G70" s="224"/>
      <c r="H70" s="636">
        <v>150</v>
      </c>
      <c r="I70" s="113"/>
      <c r="J70" s="79"/>
      <c r="K70" s="65"/>
      <c r="L70" s="79"/>
      <c r="M70" s="56"/>
      <c r="N70" s="116"/>
      <c r="O70" s="113"/>
      <c r="P70" s="84"/>
      <c r="Q70" s="42"/>
      <c r="R70" s="132"/>
      <c r="S70" s="132"/>
      <c r="T70" s="22"/>
      <c r="U70" s="238"/>
      <c r="X70" s="238"/>
    </row>
    <row r="71" spans="1:24" s="8" customFormat="1" ht="28.8" customHeight="1">
      <c r="A71" s="155"/>
      <c r="B71" s="80"/>
      <c r="C71" s="56"/>
      <c r="D71" s="47"/>
      <c r="E71" s="67"/>
      <c r="F71" s="167"/>
      <c r="G71" s="164"/>
      <c r="H71" s="48"/>
      <c r="I71" s="48"/>
      <c r="J71" s="79"/>
      <c r="K71" s="65"/>
      <c r="L71" s="79"/>
      <c r="M71" s="56"/>
      <c r="N71" s="116"/>
      <c r="O71" s="113"/>
      <c r="P71" s="84"/>
      <c r="Q71" s="42"/>
      <c r="R71" s="132"/>
      <c r="S71" s="132"/>
      <c r="T71" s="82"/>
    </row>
    <row r="72" spans="1:24" s="6" customFormat="1" ht="35.4" hidden="1" customHeight="1">
      <c r="A72" s="144" t="s">
        <v>15</v>
      </c>
      <c r="B72" s="118" t="s">
        <v>160</v>
      </c>
      <c r="C72" s="119"/>
      <c r="D72" s="72"/>
      <c r="E72" s="114">
        <f>SUM(E73:E78)</f>
        <v>15500</v>
      </c>
      <c r="F72" s="114">
        <f>SUM(F73:F78)</f>
        <v>0</v>
      </c>
      <c r="G72" s="114">
        <f>SUM(G73:G78)</f>
        <v>10500</v>
      </c>
      <c r="H72" s="114">
        <f>SUM(H73:H78)</f>
        <v>3816.5990000000002</v>
      </c>
      <c r="I72" s="114">
        <f>SUM(I73:I78)</f>
        <v>3072.16</v>
      </c>
      <c r="J72" s="126">
        <f t="shared" si="2"/>
        <v>29.258666666666667</v>
      </c>
      <c r="K72" s="114">
        <f>SUM(K73:K78)</f>
        <v>6251.4879999999994</v>
      </c>
      <c r="L72" s="126">
        <f t="shared" si="7"/>
        <v>59.537980952380941</v>
      </c>
      <c r="M72" s="109"/>
      <c r="N72" s="168"/>
      <c r="O72" s="168"/>
      <c r="P72" s="169">
        <f t="shared" si="6"/>
        <v>-4248.5120000000006</v>
      </c>
      <c r="Q72" s="34"/>
      <c r="R72" s="132">
        <f t="shared" si="0"/>
        <v>744.43900000000031</v>
      </c>
      <c r="S72" s="132">
        <f t="shared" si="1"/>
        <v>6683.4009999999998</v>
      </c>
      <c r="T72" s="19"/>
      <c r="U72" s="83"/>
    </row>
    <row r="73" spans="1:24" s="87" customFormat="1" ht="31.2" hidden="1">
      <c r="A73" s="115">
        <v>1</v>
      </c>
      <c r="B73" s="25" t="s">
        <v>140</v>
      </c>
      <c r="C73" s="26">
        <v>7952597</v>
      </c>
      <c r="D73" s="47" t="s">
        <v>132</v>
      </c>
      <c r="E73" s="27">
        <v>2000</v>
      </c>
      <c r="F73" s="28"/>
      <c r="G73" s="28">
        <v>2000</v>
      </c>
      <c r="H73" s="48">
        <v>800</v>
      </c>
      <c r="I73" s="48">
        <v>702.71199999999999</v>
      </c>
      <c r="J73" s="79">
        <f t="shared" si="2"/>
        <v>35.135599999999997</v>
      </c>
      <c r="K73" s="65">
        <f>G73</f>
        <v>2000</v>
      </c>
      <c r="L73" s="79">
        <f t="shared" si="7"/>
        <v>100</v>
      </c>
      <c r="M73" s="155" t="s">
        <v>126</v>
      </c>
      <c r="N73" s="116" t="s">
        <v>74</v>
      </c>
      <c r="O73" s="116"/>
      <c r="P73" s="84">
        <f t="shared" si="6"/>
        <v>0</v>
      </c>
      <c r="Q73" s="42"/>
      <c r="R73" s="132">
        <f t="shared" si="0"/>
        <v>97.288000000000011</v>
      </c>
      <c r="S73" s="132">
        <f t="shared" si="1"/>
        <v>1200</v>
      </c>
      <c r="T73" s="85"/>
      <c r="U73" s="86"/>
    </row>
    <row r="74" spans="1:24" s="87" customFormat="1" hidden="1">
      <c r="A74" s="115">
        <v>2</v>
      </c>
      <c r="B74" s="25" t="s">
        <v>76</v>
      </c>
      <c r="C74" s="26">
        <v>7952599</v>
      </c>
      <c r="D74" s="47" t="s">
        <v>132</v>
      </c>
      <c r="E74" s="27">
        <v>1500</v>
      </c>
      <c r="F74" s="28"/>
      <c r="G74" s="28">
        <v>1500</v>
      </c>
      <c r="H74" s="48">
        <v>600</v>
      </c>
      <c r="I74" s="48">
        <v>532.55200000000002</v>
      </c>
      <c r="J74" s="79">
        <f t="shared" si="2"/>
        <v>35.503466666666668</v>
      </c>
      <c r="K74" s="65">
        <v>997.92600000000004</v>
      </c>
      <c r="L74" s="79">
        <f t="shared" si="7"/>
        <v>66.528400000000005</v>
      </c>
      <c r="M74" s="155" t="s">
        <v>126</v>
      </c>
      <c r="N74" s="116" t="s">
        <v>74</v>
      </c>
      <c r="O74" s="116"/>
      <c r="P74" s="84">
        <f t="shared" si="6"/>
        <v>-502.07399999999996</v>
      </c>
      <c r="Q74" s="42"/>
      <c r="R74" s="132">
        <f t="shared" si="0"/>
        <v>67.447999999999979</v>
      </c>
      <c r="S74" s="132">
        <f t="shared" si="1"/>
        <v>900</v>
      </c>
      <c r="T74" s="85"/>
      <c r="U74" s="86"/>
    </row>
    <row r="75" spans="1:24" s="90" customFormat="1" hidden="1">
      <c r="A75" s="115">
        <v>3</v>
      </c>
      <c r="B75" s="25" t="s">
        <v>77</v>
      </c>
      <c r="C75" s="26">
        <v>7942948</v>
      </c>
      <c r="D75" s="47" t="s">
        <v>132</v>
      </c>
      <c r="E75" s="27">
        <v>500</v>
      </c>
      <c r="F75" s="28"/>
      <c r="G75" s="28">
        <v>500</v>
      </c>
      <c r="H75" s="48">
        <v>450</v>
      </c>
      <c r="I75" s="48">
        <v>175.72300000000001</v>
      </c>
      <c r="J75" s="79">
        <f t="shared" si="2"/>
        <v>35.144600000000004</v>
      </c>
      <c r="K75" s="65">
        <f>H75</f>
        <v>450</v>
      </c>
      <c r="L75" s="79">
        <f t="shared" si="7"/>
        <v>90</v>
      </c>
      <c r="M75" s="155" t="s">
        <v>126</v>
      </c>
      <c r="N75" s="116" t="s">
        <v>74</v>
      </c>
      <c r="O75" s="116"/>
      <c r="P75" s="88">
        <f t="shared" si="6"/>
        <v>-50</v>
      </c>
      <c r="Q75" s="42"/>
      <c r="R75" s="132">
        <f t="shared" si="0"/>
        <v>274.27699999999999</v>
      </c>
      <c r="S75" s="132">
        <f t="shared" si="1"/>
        <v>50</v>
      </c>
      <c r="T75" s="89"/>
      <c r="U75" s="86"/>
    </row>
    <row r="76" spans="1:24" s="90" customFormat="1" hidden="1">
      <c r="A76" s="115">
        <v>4</v>
      </c>
      <c r="B76" s="25" t="s">
        <v>78</v>
      </c>
      <c r="C76" s="26">
        <v>7942947</v>
      </c>
      <c r="D76" s="47" t="s">
        <v>132</v>
      </c>
      <c r="E76" s="27">
        <v>1200</v>
      </c>
      <c r="F76" s="28"/>
      <c r="G76" s="28">
        <v>1200</v>
      </c>
      <c r="H76" s="48">
        <v>700</v>
      </c>
      <c r="I76" s="48">
        <v>394.57400000000001</v>
      </c>
      <c r="J76" s="79">
        <f t="shared" si="2"/>
        <v>32.881166666666665</v>
      </c>
      <c r="K76" s="65">
        <f>H76</f>
        <v>700</v>
      </c>
      <c r="L76" s="79">
        <f t="shared" si="7"/>
        <v>58.333333333333336</v>
      </c>
      <c r="M76" s="155" t="s">
        <v>126</v>
      </c>
      <c r="N76" s="116" t="s">
        <v>74</v>
      </c>
      <c r="O76" s="116"/>
      <c r="P76" s="88">
        <f t="shared" si="6"/>
        <v>-500</v>
      </c>
      <c r="Q76" s="42"/>
      <c r="R76" s="132">
        <f t="shared" si="0"/>
        <v>305.42599999999999</v>
      </c>
      <c r="S76" s="132">
        <f t="shared" si="1"/>
        <v>500</v>
      </c>
      <c r="T76" s="89"/>
      <c r="U76" s="86"/>
    </row>
    <row r="77" spans="1:24" s="90" customFormat="1" ht="62.4" hidden="1">
      <c r="A77" s="115">
        <v>5</v>
      </c>
      <c r="B77" s="25" t="s">
        <v>91</v>
      </c>
      <c r="C77" s="56">
        <v>7949793</v>
      </c>
      <c r="D77" s="47" t="s">
        <v>132</v>
      </c>
      <c r="E77" s="29">
        <v>8800</v>
      </c>
      <c r="F77" s="28"/>
      <c r="G77" s="28">
        <f>1800+2000</f>
        <v>3800</v>
      </c>
      <c r="H77" s="48">
        <f>I77</f>
        <v>663.03700000000003</v>
      </c>
      <c r="I77" s="48">
        <v>663.03700000000003</v>
      </c>
      <c r="J77" s="79">
        <f t="shared" si="2"/>
        <v>17.448342105263158</v>
      </c>
      <c r="K77" s="65">
        <v>1500</v>
      </c>
      <c r="L77" s="79">
        <f t="shared" si="7"/>
        <v>39.473684210526315</v>
      </c>
      <c r="M77" s="72" t="s">
        <v>149</v>
      </c>
      <c r="N77" s="116" t="s">
        <v>74</v>
      </c>
      <c r="O77" s="116"/>
      <c r="P77" s="84">
        <f t="shared" si="6"/>
        <v>-2300</v>
      </c>
      <c r="Q77" s="66" t="s">
        <v>89</v>
      </c>
      <c r="R77" s="132">
        <f t="shared" si="0"/>
        <v>0</v>
      </c>
      <c r="S77" s="132">
        <f t="shared" si="1"/>
        <v>3136.9629999999997</v>
      </c>
      <c r="T77" s="89"/>
      <c r="U77" s="86"/>
    </row>
    <row r="78" spans="1:24" s="92" customFormat="1" ht="31.2" hidden="1">
      <c r="A78" s="115">
        <v>6</v>
      </c>
      <c r="B78" s="57" t="s">
        <v>82</v>
      </c>
      <c r="C78" s="56">
        <v>7953870</v>
      </c>
      <c r="D78" s="47" t="s">
        <v>132</v>
      </c>
      <c r="E78" s="48">
        <v>1500</v>
      </c>
      <c r="F78" s="48"/>
      <c r="G78" s="48">
        <v>1500</v>
      </c>
      <c r="H78" s="48">
        <f>I78</f>
        <v>603.56200000000001</v>
      </c>
      <c r="I78" s="65">
        <v>603.56200000000001</v>
      </c>
      <c r="J78" s="79">
        <f t="shared" si="2"/>
        <v>40.237466666666663</v>
      </c>
      <c r="K78" s="65">
        <f>H78</f>
        <v>603.56200000000001</v>
      </c>
      <c r="L78" s="79">
        <f t="shared" si="7"/>
        <v>40.237466666666663</v>
      </c>
      <c r="M78" s="155" t="s">
        <v>126</v>
      </c>
      <c r="N78" s="116" t="s">
        <v>74</v>
      </c>
      <c r="O78" s="116"/>
      <c r="P78" s="88">
        <f t="shared" si="6"/>
        <v>-896.43799999999999</v>
      </c>
      <c r="Q78" s="42" t="s">
        <v>88</v>
      </c>
      <c r="R78" s="132">
        <f t="shared" si="0"/>
        <v>0</v>
      </c>
      <c r="S78" s="132">
        <f t="shared" si="1"/>
        <v>896.43799999999999</v>
      </c>
      <c r="T78" s="91"/>
      <c r="U78" s="83"/>
    </row>
    <row r="79" spans="1:24" s="94" customFormat="1" hidden="1">
      <c r="A79" s="117" t="s">
        <v>18</v>
      </c>
      <c r="B79" s="118" t="s">
        <v>41</v>
      </c>
      <c r="C79" s="119"/>
      <c r="D79" s="72"/>
      <c r="E79" s="62">
        <f>SUM(E80:E81)</f>
        <v>0</v>
      </c>
      <c r="F79" s="62">
        <f>SUM(F80:F81)</f>
        <v>0</v>
      </c>
      <c r="G79" s="62">
        <f>SUM(G80:G81)</f>
        <v>33.212000000000003</v>
      </c>
      <c r="H79" s="62">
        <f>SUM(H80:H81)</f>
        <v>33.212000000000003</v>
      </c>
      <c r="I79" s="62">
        <f>SUM(I80:I81)</f>
        <v>33.212000000000003</v>
      </c>
      <c r="J79" s="126">
        <f t="shared" si="2"/>
        <v>100</v>
      </c>
      <c r="K79" s="62">
        <f>SUM(K80:K81)</f>
        <v>200</v>
      </c>
      <c r="L79" s="126">
        <f t="shared" si="7"/>
        <v>602.1919788028423</v>
      </c>
      <c r="M79" s="109"/>
      <c r="N79" s="109"/>
      <c r="O79" s="109"/>
      <c r="P79" s="169">
        <f t="shared" si="6"/>
        <v>166.78800000000001</v>
      </c>
      <c r="Q79" s="42"/>
      <c r="R79" s="132">
        <f t="shared" si="0"/>
        <v>0</v>
      </c>
      <c r="S79" s="132">
        <f t="shared" si="1"/>
        <v>0</v>
      </c>
      <c r="T79" s="93"/>
      <c r="U79" s="83"/>
    </row>
    <row r="80" spans="1:24" s="14" customFormat="1" ht="46.8" hidden="1">
      <c r="A80" s="115">
        <v>1</v>
      </c>
      <c r="B80" s="58" t="s">
        <v>54</v>
      </c>
      <c r="C80" s="59">
        <v>7915130</v>
      </c>
      <c r="D80" s="72" t="s">
        <v>131</v>
      </c>
      <c r="E80" s="48"/>
      <c r="F80" s="77"/>
      <c r="G80" s="48">
        <v>33.212000000000003</v>
      </c>
      <c r="H80" s="48">
        <v>33.212000000000003</v>
      </c>
      <c r="I80" s="48">
        <v>33.212000000000003</v>
      </c>
      <c r="J80" s="79">
        <f t="shared" si="2"/>
        <v>100</v>
      </c>
      <c r="K80" s="65">
        <v>200</v>
      </c>
      <c r="L80" s="79">
        <f t="shared" si="7"/>
        <v>602.1919788028423</v>
      </c>
      <c r="M80" s="170" t="s">
        <v>24</v>
      </c>
      <c r="N80" s="170"/>
      <c r="O80" s="116"/>
      <c r="P80" s="84">
        <f t="shared" si="6"/>
        <v>166.78800000000001</v>
      </c>
      <c r="Q80" s="42" t="s">
        <v>152</v>
      </c>
      <c r="R80" s="132">
        <f t="shared" si="0"/>
        <v>0</v>
      </c>
      <c r="S80" s="132">
        <f t="shared" si="1"/>
        <v>0</v>
      </c>
      <c r="T80" s="22"/>
    </row>
    <row r="81" spans="1:20" s="92" customFormat="1" hidden="1">
      <c r="A81" s="115"/>
      <c r="B81" s="57"/>
      <c r="C81" s="72"/>
      <c r="D81" s="72"/>
      <c r="E81" s="48"/>
      <c r="F81" s="77"/>
      <c r="G81" s="48"/>
      <c r="H81" s="48"/>
      <c r="I81" s="48"/>
      <c r="J81" s="79" t="e">
        <f t="shared" si="2"/>
        <v>#DIV/0!</v>
      </c>
      <c r="K81" s="65">
        <f>G81</f>
        <v>0</v>
      </c>
      <c r="L81" s="79" t="e">
        <f t="shared" si="7"/>
        <v>#DIV/0!</v>
      </c>
      <c r="M81" s="116"/>
      <c r="N81" s="116"/>
      <c r="O81" s="116"/>
      <c r="P81" s="84">
        <f t="shared" si="6"/>
        <v>0</v>
      </c>
      <c r="Q81" s="42"/>
      <c r="R81" s="132">
        <f t="shared" si="0"/>
        <v>0</v>
      </c>
      <c r="S81" s="132">
        <f t="shared" si="1"/>
        <v>0</v>
      </c>
      <c r="T81" s="91"/>
    </row>
    <row r="82" spans="1:20" s="16" customFormat="1" hidden="1">
      <c r="A82" s="117" t="s">
        <v>52</v>
      </c>
      <c r="B82" s="118" t="s">
        <v>55</v>
      </c>
      <c r="C82" s="119"/>
      <c r="D82" s="72"/>
      <c r="E82" s="62">
        <f>SUM(E83:E84)</f>
        <v>0</v>
      </c>
      <c r="F82" s="62">
        <f>SUM(F83:F84)</f>
        <v>0</v>
      </c>
      <c r="G82" s="62">
        <f>SUM(G83:G84)</f>
        <v>0</v>
      </c>
      <c r="H82" s="62">
        <f>SUM(H83:H84)</f>
        <v>0</v>
      </c>
      <c r="I82" s="62">
        <f>SUM(I83:I84)</f>
        <v>0</v>
      </c>
      <c r="J82" s="126" t="e">
        <f t="shared" si="2"/>
        <v>#DIV/0!</v>
      </c>
      <c r="K82" s="62">
        <f>SUM(K83:K84)</f>
        <v>0</v>
      </c>
      <c r="L82" s="126" t="e">
        <f t="shared" si="7"/>
        <v>#DIV/0!</v>
      </c>
      <c r="M82" s="109"/>
      <c r="N82" s="109"/>
      <c r="O82" s="109"/>
      <c r="P82" s="84">
        <f t="shared" si="6"/>
        <v>0</v>
      </c>
      <c r="Q82" s="42"/>
      <c r="R82" s="132">
        <f t="shared" si="0"/>
        <v>0</v>
      </c>
      <c r="S82" s="132">
        <f t="shared" si="1"/>
        <v>0</v>
      </c>
      <c r="T82" s="95"/>
    </row>
    <row r="83" spans="1:20" s="10" customFormat="1" hidden="1">
      <c r="A83" s="120"/>
      <c r="B83" s="58"/>
      <c r="C83" s="30"/>
      <c r="D83" s="30"/>
      <c r="E83" s="29"/>
      <c r="F83" s="29"/>
      <c r="G83" s="121"/>
      <c r="H83" s="29"/>
      <c r="I83" s="122"/>
      <c r="J83" s="79" t="e">
        <f t="shared" si="2"/>
        <v>#DIV/0!</v>
      </c>
      <c r="K83" s="65">
        <f>I83</f>
        <v>0</v>
      </c>
      <c r="L83" s="79" t="e">
        <f t="shared" si="7"/>
        <v>#DIV/0!</v>
      </c>
      <c r="M83" s="116"/>
      <c r="N83" s="123"/>
      <c r="O83" s="124"/>
      <c r="P83" s="84">
        <f t="shared" si="6"/>
        <v>0</v>
      </c>
      <c r="Q83" s="42"/>
      <c r="R83" s="132">
        <f t="shared" si="0"/>
        <v>0</v>
      </c>
      <c r="S83" s="132">
        <f t="shared" si="1"/>
        <v>0</v>
      </c>
      <c r="T83" s="20"/>
    </row>
    <row r="84" spans="1:20" s="10" customFormat="1" hidden="1">
      <c r="A84" s="120"/>
      <c r="B84" s="58"/>
      <c r="C84" s="30"/>
      <c r="D84" s="30"/>
      <c r="E84" s="29"/>
      <c r="F84" s="29"/>
      <c r="G84" s="121"/>
      <c r="H84" s="29"/>
      <c r="I84" s="122"/>
      <c r="J84" s="79" t="e">
        <f t="shared" si="2"/>
        <v>#DIV/0!</v>
      </c>
      <c r="K84" s="65">
        <f>I84</f>
        <v>0</v>
      </c>
      <c r="L84" s="79" t="e">
        <f t="shared" si="7"/>
        <v>#DIV/0!</v>
      </c>
      <c r="M84" s="116"/>
      <c r="N84" s="124"/>
      <c r="O84" s="124"/>
      <c r="P84" s="84">
        <f t="shared" si="6"/>
        <v>0</v>
      </c>
      <c r="Q84" s="42"/>
      <c r="R84" s="132">
        <f t="shared" si="0"/>
        <v>0</v>
      </c>
      <c r="S84" s="132">
        <f t="shared" si="1"/>
        <v>0</v>
      </c>
      <c r="T84" s="20"/>
    </row>
    <row r="85" spans="1:20" s="16" customFormat="1" ht="27.6" hidden="1" customHeight="1">
      <c r="A85" s="117" t="s">
        <v>23</v>
      </c>
      <c r="B85" s="125" t="s">
        <v>19</v>
      </c>
      <c r="C85" s="130"/>
      <c r="D85" s="56"/>
      <c r="E85" s="62">
        <f>SUM(E86:E95)</f>
        <v>59684.375</v>
      </c>
      <c r="F85" s="62">
        <f>SUM(F86:F95)</f>
        <v>9600</v>
      </c>
      <c r="G85" s="62">
        <f>SUM(G86:G95)</f>
        <v>19400</v>
      </c>
      <c r="H85" s="62">
        <f>SUM(H86:H95)</f>
        <v>11900</v>
      </c>
      <c r="I85" s="62">
        <f>SUM(I86:I95)</f>
        <v>12898.581</v>
      </c>
      <c r="J85" s="126">
        <f t="shared" si="2"/>
        <v>66.487530927835053</v>
      </c>
      <c r="K85" s="62">
        <f>SUM(K86:K93)</f>
        <v>22100</v>
      </c>
      <c r="L85" s="126">
        <f t="shared" ref="L85:L93" si="8">K85/G85*100</f>
        <v>113.91752577319588</v>
      </c>
      <c r="M85" s="109"/>
      <c r="N85" s="109"/>
      <c r="O85" s="109"/>
      <c r="P85" s="84">
        <f t="shared" si="6"/>
        <v>2700</v>
      </c>
      <c r="Q85" s="34" t="s">
        <v>90</v>
      </c>
      <c r="R85" s="132">
        <f t="shared" si="0"/>
        <v>-998.58100000000013</v>
      </c>
      <c r="S85" s="132">
        <f t="shared" si="1"/>
        <v>7500</v>
      </c>
      <c r="T85" s="95"/>
    </row>
    <row r="86" spans="1:20" s="12" customFormat="1" hidden="1">
      <c r="A86" s="127">
        <v>1</v>
      </c>
      <c r="B86" s="58" t="s">
        <v>79</v>
      </c>
      <c r="C86" s="30">
        <v>7883449</v>
      </c>
      <c r="D86" s="47" t="s">
        <v>132</v>
      </c>
      <c r="E86" s="29">
        <v>5500</v>
      </c>
      <c r="F86" s="29">
        <v>1700</v>
      </c>
      <c r="G86" s="29">
        <v>1500</v>
      </c>
      <c r="H86" s="65">
        <v>1300</v>
      </c>
      <c r="I86" s="65">
        <v>549.61300000000006</v>
      </c>
      <c r="J86" s="79">
        <f t="shared" si="2"/>
        <v>36.640866666666675</v>
      </c>
      <c r="K86" s="65">
        <v>3000</v>
      </c>
      <c r="L86" s="79">
        <f t="shared" si="8"/>
        <v>200</v>
      </c>
      <c r="M86" s="155" t="s">
        <v>126</v>
      </c>
      <c r="N86" s="116" t="s">
        <v>143</v>
      </c>
      <c r="O86" s="30"/>
      <c r="P86" s="84">
        <f t="shared" si="6"/>
        <v>1500</v>
      </c>
      <c r="Q86" s="42"/>
      <c r="R86" s="132">
        <f t="shared" si="0"/>
        <v>750.38699999999994</v>
      </c>
      <c r="S86" s="132">
        <f t="shared" si="1"/>
        <v>200</v>
      </c>
      <c r="T86" s="137"/>
    </row>
    <row r="87" spans="1:20" s="8" customFormat="1" ht="31.2" hidden="1">
      <c r="A87" s="127">
        <v>2</v>
      </c>
      <c r="B87" s="58" t="s">
        <v>93</v>
      </c>
      <c r="C87" s="30">
        <v>7907940</v>
      </c>
      <c r="D87" s="47" t="s">
        <v>132</v>
      </c>
      <c r="E87" s="29">
        <v>2800</v>
      </c>
      <c r="F87" s="29">
        <v>900</v>
      </c>
      <c r="G87" s="29">
        <v>1200</v>
      </c>
      <c r="H87" s="65">
        <v>1200</v>
      </c>
      <c r="I87" s="65">
        <v>912.04399999999998</v>
      </c>
      <c r="J87" s="79">
        <f t="shared" si="2"/>
        <v>76.003666666666675</v>
      </c>
      <c r="K87" s="65">
        <f>G87</f>
        <v>1200</v>
      </c>
      <c r="L87" s="79">
        <f t="shared" si="8"/>
        <v>100</v>
      </c>
      <c r="M87" s="155" t="s">
        <v>126</v>
      </c>
      <c r="N87" s="116" t="s">
        <v>143</v>
      </c>
      <c r="O87" s="30"/>
      <c r="P87" s="84">
        <f t="shared" si="6"/>
        <v>0</v>
      </c>
      <c r="Q87" s="42"/>
      <c r="R87" s="132">
        <f t="shared" si="0"/>
        <v>287.95600000000002</v>
      </c>
      <c r="S87" s="132">
        <f t="shared" si="1"/>
        <v>0</v>
      </c>
      <c r="T87" s="82"/>
    </row>
    <row r="88" spans="1:20" s="87" customFormat="1" ht="31.2" hidden="1">
      <c r="A88" s="127">
        <v>3</v>
      </c>
      <c r="B88" s="58" t="s">
        <v>92</v>
      </c>
      <c r="C88" s="30">
        <v>7907941</v>
      </c>
      <c r="D88" s="47" t="s">
        <v>132</v>
      </c>
      <c r="E88" s="29">
        <v>6500</v>
      </c>
      <c r="F88" s="29">
        <v>1500</v>
      </c>
      <c r="G88" s="29">
        <v>1200</v>
      </c>
      <c r="H88" s="65">
        <v>1200</v>
      </c>
      <c r="I88" s="65">
        <v>1200</v>
      </c>
      <c r="J88" s="79">
        <f t="shared" si="2"/>
        <v>100</v>
      </c>
      <c r="K88" s="65">
        <v>6000</v>
      </c>
      <c r="L88" s="79">
        <f t="shared" si="8"/>
        <v>500</v>
      </c>
      <c r="M88" s="155" t="s">
        <v>126</v>
      </c>
      <c r="N88" s="116" t="s">
        <v>143</v>
      </c>
      <c r="O88" s="30"/>
      <c r="P88" s="84">
        <f t="shared" si="6"/>
        <v>4800</v>
      </c>
      <c r="Q88" s="42"/>
      <c r="R88" s="132">
        <f t="shared" si="0"/>
        <v>0</v>
      </c>
      <c r="S88" s="132">
        <f t="shared" si="1"/>
        <v>0</v>
      </c>
      <c r="T88" s="85"/>
    </row>
    <row r="89" spans="1:20" s="90" customFormat="1" ht="46.8" hidden="1">
      <c r="A89" s="127">
        <v>4</v>
      </c>
      <c r="B89" s="171" t="s">
        <v>168</v>
      </c>
      <c r="C89" s="172">
        <v>7934251</v>
      </c>
      <c r="D89" s="47" t="s">
        <v>132</v>
      </c>
      <c r="E89" s="27">
        <v>16000</v>
      </c>
      <c r="F89" s="31"/>
      <c r="G89" s="31">
        <v>6000</v>
      </c>
      <c r="H89" s="65">
        <v>1000</v>
      </c>
      <c r="I89" s="65">
        <v>3046.3530000000001</v>
      </c>
      <c r="J89" s="79">
        <f t="shared" si="2"/>
        <v>50.772550000000003</v>
      </c>
      <c r="K89" s="65">
        <f>G89</f>
        <v>6000</v>
      </c>
      <c r="L89" s="79">
        <f t="shared" si="8"/>
        <v>100</v>
      </c>
      <c r="M89" s="155" t="s">
        <v>126</v>
      </c>
      <c r="N89" s="116" t="s">
        <v>144</v>
      </c>
      <c r="O89" s="172"/>
      <c r="P89" s="84">
        <f t="shared" si="6"/>
        <v>0</v>
      </c>
      <c r="Q89" s="34" t="s">
        <v>151</v>
      </c>
      <c r="R89" s="132">
        <f t="shared" si="0"/>
        <v>-2046.3530000000001</v>
      </c>
      <c r="S89" s="132">
        <f t="shared" si="1"/>
        <v>5000</v>
      </c>
      <c r="T89" s="89"/>
    </row>
    <row r="90" spans="1:20" s="17" customFormat="1" ht="31.2" hidden="1">
      <c r="A90" s="127">
        <v>5</v>
      </c>
      <c r="B90" s="58" t="s">
        <v>38</v>
      </c>
      <c r="C90" s="30">
        <v>7911840</v>
      </c>
      <c r="D90" s="47" t="s">
        <v>132</v>
      </c>
      <c r="E90" s="29">
        <v>7000</v>
      </c>
      <c r="F90" s="29">
        <v>3500</v>
      </c>
      <c r="G90" s="29">
        <v>2000</v>
      </c>
      <c r="H90" s="65">
        <v>2000</v>
      </c>
      <c r="I90" s="29">
        <v>1129.9680000000001</v>
      </c>
      <c r="J90" s="79">
        <f t="shared" si="2"/>
        <v>56.498400000000004</v>
      </c>
      <c r="K90" s="65">
        <v>1500</v>
      </c>
      <c r="L90" s="79">
        <f t="shared" si="8"/>
        <v>75</v>
      </c>
      <c r="M90" s="155" t="s">
        <v>126</v>
      </c>
      <c r="N90" s="116" t="s">
        <v>144</v>
      </c>
      <c r="O90" s="30"/>
      <c r="P90" s="84">
        <f t="shared" si="6"/>
        <v>-500</v>
      </c>
      <c r="Q90" s="42"/>
      <c r="R90" s="132">
        <f t="shared" si="0"/>
        <v>870.03199999999993</v>
      </c>
      <c r="S90" s="132">
        <f t="shared" si="1"/>
        <v>0</v>
      </c>
      <c r="T90" s="76"/>
    </row>
    <row r="91" spans="1:20" s="14" customFormat="1" ht="31.2" hidden="1">
      <c r="A91" s="127">
        <v>6</v>
      </c>
      <c r="B91" s="171" t="s">
        <v>80</v>
      </c>
      <c r="C91" s="172">
        <v>7929844</v>
      </c>
      <c r="D91" s="47" t="s">
        <v>132</v>
      </c>
      <c r="E91" s="27">
        <v>7300</v>
      </c>
      <c r="F91" s="31"/>
      <c r="G91" s="31">
        <v>2000</v>
      </c>
      <c r="H91" s="29">
        <v>2000</v>
      </c>
      <c r="I91" s="29">
        <v>2000</v>
      </c>
      <c r="J91" s="79">
        <f t="shared" si="2"/>
        <v>100</v>
      </c>
      <c r="K91" s="65">
        <v>1500</v>
      </c>
      <c r="L91" s="79">
        <f t="shared" si="8"/>
        <v>75</v>
      </c>
      <c r="M91" s="155" t="s">
        <v>126</v>
      </c>
      <c r="N91" s="116" t="s">
        <v>144</v>
      </c>
      <c r="O91" s="172"/>
      <c r="P91" s="84">
        <f t="shared" si="6"/>
        <v>-500</v>
      </c>
      <c r="Q91" s="42"/>
      <c r="R91" s="132">
        <f t="shared" si="0"/>
        <v>0</v>
      </c>
      <c r="S91" s="132">
        <f t="shared" si="1"/>
        <v>0</v>
      </c>
      <c r="T91" s="22"/>
    </row>
    <row r="92" spans="1:20" s="14" customFormat="1" hidden="1">
      <c r="A92" s="127">
        <v>7</v>
      </c>
      <c r="B92" s="58" t="s">
        <v>81</v>
      </c>
      <c r="C92" s="30">
        <v>7910695</v>
      </c>
      <c r="D92" s="47" t="s">
        <v>132</v>
      </c>
      <c r="E92" s="29">
        <v>5500</v>
      </c>
      <c r="F92" s="29"/>
      <c r="G92" s="29">
        <v>2000</v>
      </c>
      <c r="H92" s="65">
        <v>600</v>
      </c>
      <c r="I92" s="29">
        <v>1504.9680000000001</v>
      </c>
      <c r="J92" s="79">
        <f t="shared" si="2"/>
        <v>75.248400000000004</v>
      </c>
      <c r="K92" s="65">
        <v>2000</v>
      </c>
      <c r="L92" s="79">
        <f t="shared" si="8"/>
        <v>100</v>
      </c>
      <c r="M92" s="155" t="s">
        <v>126</v>
      </c>
      <c r="N92" s="116" t="s">
        <v>145</v>
      </c>
      <c r="O92" s="30"/>
      <c r="P92" s="84">
        <f t="shared" si="6"/>
        <v>0</v>
      </c>
      <c r="Q92" s="42"/>
      <c r="R92" s="132">
        <f t="shared" si="0"/>
        <v>-904.96800000000007</v>
      </c>
      <c r="S92" s="132">
        <f t="shared" si="1"/>
        <v>1400</v>
      </c>
      <c r="T92" s="22"/>
    </row>
    <row r="93" spans="1:20" s="14" customFormat="1" hidden="1">
      <c r="A93" s="127">
        <v>8</v>
      </c>
      <c r="B93" s="58" t="s">
        <v>94</v>
      </c>
      <c r="C93" s="30">
        <v>7906134</v>
      </c>
      <c r="D93" s="47" t="s">
        <v>132</v>
      </c>
      <c r="E93" s="29">
        <v>6000</v>
      </c>
      <c r="F93" s="29">
        <v>2000</v>
      </c>
      <c r="G93" s="29">
        <v>3000</v>
      </c>
      <c r="H93" s="65">
        <v>2500</v>
      </c>
      <c r="I93" s="29">
        <v>2055.6350000000002</v>
      </c>
      <c r="J93" s="79">
        <f t="shared" si="2"/>
        <v>68.521166666666673</v>
      </c>
      <c r="K93" s="65">
        <v>900</v>
      </c>
      <c r="L93" s="79">
        <f t="shared" si="8"/>
        <v>30</v>
      </c>
      <c r="M93" s="155" t="s">
        <v>126</v>
      </c>
      <c r="N93" s="116" t="s">
        <v>146</v>
      </c>
      <c r="O93" s="30"/>
      <c r="P93" s="84">
        <f t="shared" si="6"/>
        <v>-2100</v>
      </c>
      <c r="Q93" s="66"/>
      <c r="R93" s="132">
        <f t="shared" si="0"/>
        <v>444.36499999999978</v>
      </c>
      <c r="S93" s="132">
        <f t="shared" si="1"/>
        <v>500</v>
      </c>
      <c r="T93" s="22"/>
    </row>
    <row r="94" spans="1:20" ht="46.8" hidden="1">
      <c r="A94" s="127">
        <v>9</v>
      </c>
      <c r="B94" s="58" t="s">
        <v>139</v>
      </c>
      <c r="C94" s="30">
        <v>7948772</v>
      </c>
      <c r="D94" s="47" t="s">
        <v>137</v>
      </c>
      <c r="E94" s="29">
        <v>3084.375</v>
      </c>
      <c r="F94" s="29"/>
      <c r="G94" s="29">
        <v>500</v>
      </c>
      <c r="H94" s="29">
        <v>100</v>
      </c>
      <c r="I94" s="29">
        <v>500</v>
      </c>
      <c r="J94" s="79">
        <f>I94/G94*100</f>
        <v>100</v>
      </c>
      <c r="K94" s="167"/>
      <c r="L94" s="173"/>
      <c r="M94" s="72" t="s">
        <v>157</v>
      </c>
      <c r="N94" s="116" t="s">
        <v>147</v>
      </c>
      <c r="O94" s="167"/>
      <c r="P94" s="84">
        <f t="shared" si="6"/>
        <v>-500</v>
      </c>
      <c r="Q94" s="42" t="s">
        <v>138</v>
      </c>
      <c r="R94" s="132">
        <f t="shared" si="0"/>
        <v>-400</v>
      </c>
      <c r="S94" s="132">
        <f t="shared" si="1"/>
        <v>400</v>
      </c>
    </row>
    <row r="95" spans="1:20" ht="46.8" hidden="1">
      <c r="A95" s="180">
        <v>10</v>
      </c>
      <c r="B95" s="58" t="s">
        <v>158</v>
      </c>
      <c r="C95" s="185"/>
      <c r="D95" s="47" t="s">
        <v>134</v>
      </c>
      <c r="E95" s="29"/>
      <c r="F95" s="29"/>
      <c r="G95" s="29"/>
      <c r="H95" s="181"/>
      <c r="I95" s="183"/>
      <c r="J95" s="79"/>
      <c r="K95" s="182"/>
      <c r="L95" s="184"/>
      <c r="M95" s="72" t="s">
        <v>157</v>
      </c>
      <c r="N95" s="116" t="s">
        <v>159</v>
      </c>
      <c r="O95" s="182"/>
      <c r="P95" s="84">
        <f>K95-G95</f>
        <v>0</v>
      </c>
      <c r="Q95" s="42"/>
      <c r="R95" s="132"/>
      <c r="S95" s="132"/>
    </row>
    <row r="96" spans="1:20" s="16" customFormat="1" ht="25.2" hidden="1" customHeight="1">
      <c r="A96" s="144" t="s">
        <v>20</v>
      </c>
      <c r="B96" s="125" t="s">
        <v>22</v>
      </c>
      <c r="C96" s="130"/>
      <c r="D96" s="56"/>
      <c r="E96" s="62">
        <f>E97+E98+E99</f>
        <v>0</v>
      </c>
      <c r="F96" s="62">
        <f>F97+F98+F99</f>
        <v>0</v>
      </c>
      <c r="G96" s="62">
        <f>G97+G98+G99</f>
        <v>0</v>
      </c>
      <c r="H96" s="62">
        <f>H97+H98+H99</f>
        <v>0</v>
      </c>
      <c r="I96" s="62">
        <f>I97+I98+I99</f>
        <v>0</v>
      </c>
      <c r="J96" s="79" t="e">
        <f>I96/G96*100</f>
        <v>#DIV/0!</v>
      </c>
      <c r="K96" s="62">
        <f>SUM(K97:K97)</f>
        <v>0</v>
      </c>
      <c r="L96" s="126" t="e">
        <f>K96/G96*100</f>
        <v>#DIV/0!</v>
      </c>
      <c r="M96" s="109"/>
      <c r="N96" s="109"/>
      <c r="O96" s="128"/>
      <c r="P96" s="84">
        <f t="shared" si="6"/>
        <v>0</v>
      </c>
      <c r="Q96" s="34"/>
      <c r="R96" s="132">
        <f t="shared" si="0"/>
        <v>0</v>
      </c>
      <c r="S96" s="132">
        <f t="shared" si="1"/>
        <v>0</v>
      </c>
      <c r="T96" s="95"/>
    </row>
    <row r="97" spans="1:22" s="8" customFormat="1" ht="19.8" hidden="1" customHeight="1">
      <c r="A97" s="127"/>
      <c r="B97" s="58"/>
      <c r="C97" s="72"/>
      <c r="D97" s="72"/>
      <c r="E97" s="48"/>
      <c r="F97" s="48"/>
      <c r="G97" s="222"/>
      <c r="H97" s="48"/>
      <c r="I97" s="48"/>
      <c r="J97" s="79"/>
      <c r="K97" s="65"/>
      <c r="L97" s="79"/>
      <c r="M97" s="116"/>
      <c r="N97" s="113"/>
      <c r="O97" s="116"/>
      <c r="P97" s="84"/>
      <c r="Q97" s="188"/>
      <c r="R97" s="189"/>
      <c r="S97" s="189"/>
    </row>
    <row r="98" spans="1:22" ht="19.8" hidden="1" customHeight="1">
      <c r="A98" s="190"/>
      <c r="B98" s="58"/>
      <c r="C98" s="180"/>
      <c r="D98" s="47"/>
      <c r="E98" s="191"/>
      <c r="F98" s="191"/>
      <c r="G98" s="192"/>
      <c r="H98" s="192"/>
      <c r="I98" s="191"/>
      <c r="J98" s="79"/>
      <c r="K98" s="182"/>
      <c r="L98" s="182"/>
      <c r="M98" s="182"/>
      <c r="N98" s="182"/>
      <c r="O98" s="182"/>
      <c r="P98" s="84"/>
      <c r="Q98" s="42"/>
      <c r="R98" s="189"/>
      <c r="S98" s="189"/>
    </row>
    <row r="99" spans="1:22" ht="8.4" hidden="1" customHeight="1">
      <c r="A99" s="190"/>
      <c r="B99" s="58"/>
      <c r="C99" s="180"/>
      <c r="D99" s="47"/>
      <c r="E99" s="191"/>
      <c r="F99" s="191"/>
      <c r="G99" s="192"/>
      <c r="H99" s="192"/>
      <c r="I99" s="191"/>
      <c r="J99" s="79"/>
      <c r="K99" s="182"/>
      <c r="L99" s="182"/>
      <c r="M99" s="190"/>
      <c r="N99" s="193"/>
      <c r="O99" s="182"/>
      <c r="P99" s="84"/>
      <c r="Q99" s="42"/>
      <c r="R99" s="189"/>
      <c r="S99" s="189"/>
    </row>
    <row r="100" spans="1:22" ht="3" hidden="1" customHeight="1"/>
    <row r="101" spans="1:22" s="196" customFormat="1" ht="39" customHeight="1">
      <c r="A101" s="1" t="s">
        <v>14</v>
      </c>
      <c r="B101" s="118" t="s">
        <v>173</v>
      </c>
      <c r="C101" s="199"/>
      <c r="D101" s="200"/>
      <c r="E101" s="62">
        <f>SUM(E102:E103)</f>
        <v>0</v>
      </c>
      <c r="F101" s="62">
        <f>SUM(F102:F103)</f>
        <v>0</v>
      </c>
      <c r="G101" s="62">
        <f>SUM(G102:G103)</f>
        <v>0</v>
      </c>
      <c r="H101" s="204">
        <f>H103</f>
        <v>0</v>
      </c>
      <c r="I101" s="204">
        <f>I103</f>
        <v>0</v>
      </c>
      <c r="J101" s="201"/>
      <c r="K101" s="201"/>
      <c r="L101" s="201"/>
      <c r="M101" s="244" t="s">
        <v>307</v>
      </c>
      <c r="N101" s="197"/>
      <c r="Q101" s="198"/>
      <c r="V101" s="240"/>
    </row>
    <row r="102" spans="1:22" ht="27" customHeight="1">
      <c r="A102" s="180"/>
      <c r="B102" s="57"/>
      <c r="C102" s="215"/>
      <c r="D102" s="218"/>
      <c r="E102" s="48"/>
      <c r="F102" s="48"/>
      <c r="G102" s="48"/>
      <c r="H102" s="221"/>
      <c r="I102" s="221"/>
      <c r="J102" s="182"/>
      <c r="K102" s="182"/>
      <c r="L102" s="182"/>
      <c r="M102" s="203"/>
    </row>
    <row r="103" spans="1:22" ht="27" customHeight="1">
      <c r="A103" s="180"/>
      <c r="B103" s="80"/>
      <c r="C103" s="56"/>
      <c r="D103" s="47"/>
      <c r="E103" s="67"/>
      <c r="F103" s="67"/>
      <c r="G103" s="67"/>
      <c r="H103" s="181"/>
      <c r="I103" s="183"/>
      <c r="J103" s="182"/>
      <c r="K103" s="182"/>
      <c r="L103" s="182"/>
      <c r="M103" s="203"/>
      <c r="T103" s="102"/>
    </row>
    <row r="104" spans="1:22" s="209" customFormat="1" ht="24" customHeight="1">
      <c r="A104" s="1" t="s">
        <v>15</v>
      </c>
      <c r="B104" s="210" t="s">
        <v>171</v>
      </c>
      <c r="C104" s="1"/>
      <c r="D104" s="211"/>
      <c r="E104" s="212"/>
      <c r="F104" s="213"/>
      <c r="G104" s="223">
        <f>SUM(G105:G106)</f>
        <v>0</v>
      </c>
      <c r="H104" s="223">
        <f>SUM(H105:H106)</f>
        <v>526.726</v>
      </c>
      <c r="I104" s="214"/>
      <c r="J104" s="213"/>
      <c r="K104" s="213"/>
      <c r="L104" s="213"/>
      <c r="M104" s="202"/>
      <c r="N104" s="208"/>
      <c r="Q104" s="198"/>
    </row>
    <row r="105" spans="1:22" ht="28.2" customHeight="1">
      <c r="A105" s="180">
        <v>1</v>
      </c>
      <c r="B105" s="80" t="s">
        <v>172</v>
      </c>
      <c r="C105" s="215"/>
      <c r="D105" s="216"/>
      <c r="E105" s="181"/>
      <c r="F105" s="182"/>
      <c r="G105" s="181"/>
      <c r="H105" s="181">
        <v>325.50900000000001</v>
      </c>
      <c r="I105" s="183"/>
      <c r="J105" s="182"/>
      <c r="K105" s="182"/>
      <c r="L105" s="182"/>
      <c r="M105" s="203"/>
    </row>
    <row r="106" spans="1:22" ht="38.4" customHeight="1">
      <c r="A106" s="180">
        <v>2</v>
      </c>
      <c r="B106" s="80" t="s">
        <v>600</v>
      </c>
      <c r="C106" s="215"/>
      <c r="D106" s="47"/>
      <c r="E106" s="220"/>
      <c r="F106" s="217"/>
      <c r="G106" s="164"/>
      <c r="H106" s="181">
        <v>201.21700000000001</v>
      </c>
      <c r="I106" s="183"/>
      <c r="J106" s="182"/>
      <c r="K106" s="182"/>
      <c r="L106" s="182"/>
      <c r="M106" s="203"/>
    </row>
    <row r="107" spans="1:22" ht="21.6" customHeight="1"/>
    <row r="108" spans="1:22">
      <c r="F108" s="103"/>
    </row>
  </sheetData>
  <mergeCells count="23">
    <mergeCell ref="A1:M1"/>
    <mergeCell ref="A2:M2"/>
    <mergeCell ref="A3:M3"/>
    <mergeCell ref="J4:M4"/>
    <mergeCell ref="F6:F7"/>
    <mergeCell ref="G6:G7"/>
    <mergeCell ref="F5:G5"/>
    <mergeCell ref="H5:H7"/>
    <mergeCell ref="I5:I7"/>
    <mergeCell ref="Q4:R4"/>
    <mergeCell ref="A5:A7"/>
    <mergeCell ref="B5:B7"/>
    <mergeCell ref="C5:C7"/>
    <mergeCell ref="D5:D7"/>
    <mergeCell ref="E5:E7"/>
    <mergeCell ref="J5:J7"/>
    <mergeCell ref="K5:L6"/>
    <mergeCell ref="M5:M7"/>
    <mergeCell ref="N5:N7"/>
    <mergeCell ref="O5:O7"/>
    <mergeCell ref="P5:P7"/>
    <mergeCell ref="Q5:Q7"/>
    <mergeCell ref="R5:R7"/>
  </mergeCells>
  <printOptions horizontalCentered="1"/>
  <pageMargins left="0.39370078740157483" right="0.23622047244094491" top="0.59055118110236227" bottom="0.59055118110236227" header="0.31496062992125984" footer="0.31496062992125984"/>
  <pageSetup paperSize="9" scale="55" orientation="landscape" r:id="rId1"/>
  <headerFooter>
    <oddFooter>&amp;C&amp;P/&amp;N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9A47-CCC6-4BE9-9653-DBC79E55E9BA}">
  <sheetPr>
    <tabColor rgb="FFFF0000"/>
  </sheetPr>
  <dimension ref="A1:AD22"/>
  <sheetViews>
    <sheetView topLeftCell="A10" zoomScale="70" zoomScaleNormal="70" zoomScaleSheetLayoutView="100" workbookViewId="0">
      <selection activeCell="I28" sqref="I28"/>
    </sheetView>
  </sheetViews>
  <sheetFormatPr defaultColWidth="8.77734375" defaultRowHeight="15.6"/>
  <cols>
    <col min="1" max="1" width="8.6640625" style="782" customWidth="1"/>
    <col min="2" max="2" width="61.44140625" style="783" customWidth="1"/>
    <col min="3" max="3" width="18.109375" style="97" customWidth="1"/>
    <col min="4" max="4" width="12.88671875" style="783" customWidth="1"/>
    <col min="5" max="5" width="14.21875" style="13" customWidth="1"/>
    <col min="6" max="6" width="13.109375" style="13" customWidth="1"/>
    <col min="7" max="7" width="18" style="13" customWidth="1"/>
    <col min="8" max="8" width="16.21875" style="13" customWidth="1"/>
    <col min="9" max="9" width="17.88671875" style="13" customWidth="1"/>
    <col min="10" max="10" width="0" style="13" hidden="1" customWidth="1"/>
    <col min="11" max="11" width="12.109375" style="13" hidden="1" customWidth="1"/>
    <col min="12" max="12" width="9.88671875" style="13" hidden="1" customWidth="1"/>
    <col min="13" max="13" width="19.109375" style="13" hidden="1" customWidth="1"/>
    <col min="14" max="17" width="0" style="13" hidden="1" customWidth="1"/>
    <col min="18" max="19" width="8.77734375" style="13"/>
    <col min="20" max="20" width="10.109375" style="13" hidden="1" customWidth="1"/>
    <col min="21" max="21" width="12.5546875" style="13" hidden="1" customWidth="1"/>
    <col min="22" max="26" width="0" style="13" hidden="1" customWidth="1"/>
    <col min="27" max="27" width="12.88671875" style="13" hidden="1" customWidth="1"/>
    <col min="28" max="28" width="9.44140625" style="13" hidden="1" customWidth="1"/>
    <col min="29" max="30" width="9" style="13" hidden="1" customWidth="1"/>
    <col min="31" max="16384" width="8.77734375" style="13"/>
  </cols>
  <sheetData>
    <row r="1" spans="1:28" ht="23.4" customHeight="1">
      <c r="I1" s="63" t="s">
        <v>666</v>
      </c>
    </row>
    <row r="2" spans="1:28" ht="22.8" customHeight="1">
      <c r="A2" s="902" t="s">
        <v>665</v>
      </c>
      <c r="B2" s="903"/>
      <c r="C2" s="903"/>
      <c r="D2" s="903"/>
      <c r="E2" s="903"/>
      <c r="F2" s="903"/>
      <c r="G2" s="903"/>
      <c r="H2" s="903"/>
      <c r="I2" s="903"/>
    </row>
    <row r="3" spans="1:28" ht="27.6" customHeight="1">
      <c r="A3" s="904" t="s">
        <v>336</v>
      </c>
      <c r="B3" s="904"/>
      <c r="C3" s="904"/>
      <c r="D3" s="904"/>
      <c r="E3" s="904"/>
      <c r="F3" s="904"/>
      <c r="G3" s="904"/>
      <c r="H3" s="904"/>
      <c r="I3" s="904"/>
    </row>
    <row r="4" spans="1:28" ht="26.4" customHeight="1">
      <c r="A4" s="743"/>
      <c r="B4" s="3"/>
      <c r="C4" s="2"/>
      <c r="D4" s="3"/>
      <c r="E4" s="744"/>
      <c r="F4" s="744"/>
      <c r="G4" s="744"/>
      <c r="H4" s="905" t="s">
        <v>6</v>
      </c>
      <c r="I4" s="905"/>
      <c r="M4" s="745">
        <v>3115.2</v>
      </c>
    </row>
    <row r="5" spans="1:28" s="15" customFormat="1" ht="21.6" customHeight="1">
      <c r="A5" s="906" t="s">
        <v>510</v>
      </c>
      <c r="B5" s="908" t="s">
        <v>646</v>
      </c>
      <c r="C5" s="908" t="s">
        <v>647</v>
      </c>
      <c r="D5" s="908" t="s">
        <v>648</v>
      </c>
      <c r="E5" s="910" t="s">
        <v>513</v>
      </c>
      <c r="F5" s="911"/>
      <c r="G5" s="912" t="s">
        <v>667</v>
      </c>
      <c r="H5" s="898" t="s">
        <v>668</v>
      </c>
      <c r="I5" s="898" t="s">
        <v>2</v>
      </c>
      <c r="K5" s="698">
        <v>11056</v>
      </c>
      <c r="L5" s="698">
        <f>K5-M5</f>
        <v>8040.8</v>
      </c>
      <c r="M5" s="746">
        <f>M4-M7</f>
        <v>3015.2</v>
      </c>
      <c r="N5" s="15" t="s">
        <v>649</v>
      </c>
    </row>
    <row r="6" spans="1:28" s="15" customFormat="1" ht="31.2">
      <c r="A6" s="907"/>
      <c r="B6" s="909"/>
      <c r="C6" s="909"/>
      <c r="D6" s="909"/>
      <c r="E6" s="747" t="s">
        <v>650</v>
      </c>
      <c r="F6" s="747" t="s">
        <v>651</v>
      </c>
      <c r="G6" s="913"/>
      <c r="H6" s="899"/>
      <c r="I6" s="899"/>
      <c r="K6" s="698"/>
      <c r="L6" s="698"/>
      <c r="M6" s="746"/>
    </row>
    <row r="7" spans="1:28" s="752" customFormat="1" ht="25.8" customHeight="1">
      <c r="A7" s="748"/>
      <c r="B7" s="749" t="s">
        <v>652</v>
      </c>
      <c r="C7" s="749"/>
      <c r="D7" s="749"/>
      <c r="E7" s="750">
        <f>E8+E17</f>
        <v>79985</v>
      </c>
      <c r="F7" s="750">
        <f>F8+F17</f>
        <v>41145</v>
      </c>
      <c r="G7" s="750">
        <f>G8+G17</f>
        <v>11643.427</v>
      </c>
      <c r="H7" s="750">
        <f>H8+H17</f>
        <v>15311</v>
      </c>
      <c r="I7" s="751"/>
      <c r="K7" s="753">
        <f>K5-H8</f>
        <v>3345</v>
      </c>
      <c r="L7" s="211" t="s">
        <v>653</v>
      </c>
      <c r="M7" s="754">
        <f>SUM(M8:M8)</f>
        <v>100</v>
      </c>
    </row>
    <row r="8" spans="1:28" s="63" customFormat="1" ht="24.6" customHeight="1">
      <c r="A8" s="211" t="s">
        <v>9</v>
      </c>
      <c r="B8" s="755" t="s">
        <v>654</v>
      </c>
      <c r="C8" s="756"/>
      <c r="D8" s="755"/>
      <c r="E8" s="757">
        <f>E9+E11+E13</f>
        <v>35485</v>
      </c>
      <c r="F8" s="757">
        <f t="shared" ref="F8:H8" si="0">F9+F11+F13</f>
        <v>16645</v>
      </c>
      <c r="G8" s="757">
        <f t="shared" si="0"/>
        <v>3343.4270000000001</v>
      </c>
      <c r="H8" s="757">
        <f t="shared" si="0"/>
        <v>7711</v>
      </c>
      <c r="I8" s="758"/>
      <c r="L8" s="759" t="s">
        <v>655</v>
      </c>
      <c r="M8" s="760">
        <v>100</v>
      </c>
      <c r="S8" s="788"/>
      <c r="T8" s="752"/>
      <c r="AA8" s="63">
        <v>5500000</v>
      </c>
    </row>
    <row r="9" spans="1:28" s="44" customFormat="1" ht="16.2">
      <c r="A9" s="230" t="s">
        <v>39</v>
      </c>
      <c r="B9" s="232" t="s">
        <v>656</v>
      </c>
      <c r="C9" s="762"/>
      <c r="D9" s="232"/>
      <c r="E9" s="761">
        <f>SUM(E10:E10)</f>
        <v>10800</v>
      </c>
      <c r="F9" s="761">
        <f>SUM(F10:F10)</f>
        <v>6960</v>
      </c>
      <c r="G9" s="761">
        <f>SUM(G10:G10)</f>
        <v>3343.4270000000001</v>
      </c>
      <c r="H9" s="761">
        <f>SUM(H10:H10)</f>
        <v>3616</v>
      </c>
      <c r="I9" s="474"/>
      <c r="K9" s="763"/>
      <c r="AA9" s="44">
        <f>SUM(AA8:AA8)</f>
        <v>5500000</v>
      </c>
      <c r="AB9" s="44">
        <f>AA9*0.57%</f>
        <v>31349.999999999996</v>
      </c>
    </row>
    <row r="10" spans="1:28" s="14" customFormat="1" ht="46.8">
      <c r="A10" s="236">
        <v>1</v>
      </c>
      <c r="B10" s="57" t="s">
        <v>75</v>
      </c>
      <c r="C10" s="24" t="s">
        <v>356</v>
      </c>
      <c r="D10" s="30" t="s">
        <v>657</v>
      </c>
      <c r="E10" s="67">
        <v>10800</v>
      </c>
      <c r="F10" s="67">
        <v>6960</v>
      </c>
      <c r="G10" s="67">
        <v>3343.4270000000001</v>
      </c>
      <c r="H10" s="67">
        <v>3616</v>
      </c>
      <c r="I10" s="234" t="s">
        <v>670</v>
      </c>
      <c r="K10" s="763"/>
      <c r="T10" s="763">
        <f>G10+3840</f>
        <v>7183.4269999999997</v>
      </c>
    </row>
    <row r="11" spans="1:28" s="44" customFormat="1" ht="16.2">
      <c r="A11" s="765" t="s">
        <v>40</v>
      </c>
      <c r="B11" s="69" t="s">
        <v>63</v>
      </c>
      <c r="C11" s="70"/>
      <c r="D11" s="69"/>
      <c r="E11" s="761">
        <f>E12</f>
        <v>18285</v>
      </c>
      <c r="F11" s="761">
        <f t="shared" ref="F11:H11" si="1">F12</f>
        <v>3285</v>
      </c>
      <c r="G11" s="761">
        <f t="shared" si="1"/>
        <v>0</v>
      </c>
      <c r="H11" s="761">
        <f t="shared" si="1"/>
        <v>3285</v>
      </c>
      <c r="I11" s="474"/>
      <c r="K11" s="766"/>
      <c r="U11" s="763">
        <f>E10-F10</f>
        <v>3840</v>
      </c>
      <c r="AB11" s="44" t="e">
        <f>AB9-#REF!</f>
        <v>#REF!</v>
      </c>
    </row>
    <row r="12" spans="1:28" s="14" customFormat="1" ht="39.6" customHeight="1">
      <c r="A12" s="127">
        <v>1</v>
      </c>
      <c r="B12" s="57" t="s">
        <v>168</v>
      </c>
      <c r="C12" s="24" t="s">
        <v>356</v>
      </c>
      <c r="D12" s="30" t="s">
        <v>657</v>
      </c>
      <c r="E12" s="326">
        <v>18285</v>
      </c>
      <c r="F12" s="326">
        <v>3285</v>
      </c>
      <c r="G12" s="330">
        <v>0</v>
      </c>
      <c r="H12" s="330">
        <v>3285</v>
      </c>
      <c r="I12" s="79"/>
      <c r="J12" s="79">
        <f t="shared" ref="J12" si="2">F12</f>
        <v>3285</v>
      </c>
      <c r="K12" s="523">
        <f t="shared" ref="K12" si="3">J12/F12*100</f>
        <v>100</v>
      </c>
      <c r="L12" s="381"/>
      <c r="M12" s="116"/>
      <c r="N12" s="245">
        <f t="shared" ref="N12" si="4">F12-H12</f>
        <v>0</v>
      </c>
      <c r="O12" s="42"/>
      <c r="P12" s="531">
        <f t="shared" ref="P12" si="5">G12-H12</f>
        <v>-3285</v>
      </c>
      <c r="T12" s="763">
        <f>F10-G10</f>
        <v>3616.5729999999999</v>
      </c>
    </row>
    <row r="13" spans="1:28" s="44" customFormat="1" ht="16.2">
      <c r="A13" s="765" t="s">
        <v>62</v>
      </c>
      <c r="B13" s="767" t="s">
        <v>658</v>
      </c>
      <c r="C13" s="762"/>
      <c r="D13" s="767"/>
      <c r="E13" s="761">
        <f>SUM(E14:E16)</f>
        <v>6400</v>
      </c>
      <c r="F13" s="761">
        <f>SUM(F14:F16)</f>
        <v>6400</v>
      </c>
      <c r="G13" s="761">
        <f>SUM(G14:G16)</f>
        <v>0</v>
      </c>
      <c r="H13" s="761">
        <f>SUM(H14:H16)</f>
        <v>810</v>
      </c>
      <c r="I13" s="768"/>
      <c r="K13" s="769"/>
      <c r="W13" s="44">
        <f>W10+870</f>
        <v>870</v>
      </c>
      <c r="AA13" s="44">
        <v>-1314</v>
      </c>
      <c r="AB13" s="44">
        <v>3000</v>
      </c>
    </row>
    <row r="14" spans="1:28" s="44" customFormat="1" ht="31.2">
      <c r="A14" s="233" t="s">
        <v>53</v>
      </c>
      <c r="B14" s="80" t="s">
        <v>671</v>
      </c>
      <c r="C14" s="24" t="s">
        <v>241</v>
      </c>
      <c r="D14" s="786" t="s">
        <v>674</v>
      </c>
      <c r="E14" s="467">
        <v>500</v>
      </c>
      <c r="F14" s="467">
        <v>500</v>
      </c>
      <c r="G14" s="467">
        <v>0</v>
      </c>
      <c r="H14" s="467">
        <v>210</v>
      </c>
      <c r="I14" s="768"/>
      <c r="K14" s="769"/>
    </row>
    <row r="15" spans="1:28" s="44" customFormat="1" ht="31.2">
      <c r="A15" s="233" t="s">
        <v>155</v>
      </c>
      <c r="B15" s="80" t="s">
        <v>672</v>
      </c>
      <c r="C15" s="24" t="s">
        <v>673</v>
      </c>
      <c r="D15" s="786" t="s">
        <v>674</v>
      </c>
      <c r="E15" s="467">
        <v>900</v>
      </c>
      <c r="F15" s="467">
        <v>900</v>
      </c>
      <c r="G15" s="467">
        <v>0</v>
      </c>
      <c r="H15" s="467">
        <v>300</v>
      </c>
      <c r="I15" s="768"/>
      <c r="K15" s="769"/>
    </row>
    <row r="16" spans="1:28" s="44" customFormat="1" ht="16.8">
      <c r="A16" s="233" t="s">
        <v>300</v>
      </c>
      <c r="B16" s="787" t="s">
        <v>676</v>
      </c>
      <c r="C16" s="226" t="s">
        <v>242</v>
      </c>
      <c r="D16" s="786" t="s">
        <v>675</v>
      </c>
      <c r="E16" s="467">
        <v>5000</v>
      </c>
      <c r="F16" s="467">
        <v>5000</v>
      </c>
      <c r="G16" s="467">
        <v>0</v>
      </c>
      <c r="H16" s="467">
        <v>300</v>
      </c>
      <c r="I16" s="764" t="s">
        <v>677</v>
      </c>
      <c r="K16" s="769"/>
    </row>
    <row r="17" spans="1:14" s="63" customFormat="1" ht="22.8" customHeight="1">
      <c r="A17" s="770" t="s">
        <v>14</v>
      </c>
      <c r="B17" s="771" t="s">
        <v>625</v>
      </c>
      <c r="C17" s="772"/>
      <c r="D17" s="771"/>
      <c r="E17" s="757">
        <f>E18+E21</f>
        <v>44500</v>
      </c>
      <c r="F17" s="757">
        <f>F18+F21</f>
        <v>24500</v>
      </c>
      <c r="G17" s="757">
        <f>G18+G21</f>
        <v>8300</v>
      </c>
      <c r="H17" s="757">
        <f>H18+H21</f>
        <v>7600</v>
      </c>
      <c r="I17" s="773"/>
      <c r="J17" s="900" t="s">
        <v>659</v>
      </c>
      <c r="K17" s="901"/>
      <c r="L17" s="94"/>
      <c r="M17" s="94">
        <f>8000*0.85</f>
        <v>6800</v>
      </c>
      <c r="N17" s="94"/>
    </row>
    <row r="18" spans="1:14" s="44" customFormat="1" ht="16.2">
      <c r="A18" s="765" t="s">
        <v>660</v>
      </c>
      <c r="B18" s="232" t="s">
        <v>10</v>
      </c>
      <c r="C18" s="762"/>
      <c r="D18" s="232"/>
      <c r="E18" s="761">
        <f>SUM(E19:E20)</f>
        <v>44500</v>
      </c>
      <c r="F18" s="761">
        <f t="shared" ref="F18:H18" si="6">SUM(F19:F20)</f>
        <v>24500</v>
      </c>
      <c r="G18" s="761">
        <f t="shared" si="6"/>
        <v>8300</v>
      </c>
      <c r="H18" s="761">
        <f t="shared" si="6"/>
        <v>6800</v>
      </c>
      <c r="I18" s="774"/>
      <c r="J18" s="310">
        <v>5</v>
      </c>
      <c r="K18" s="775">
        <v>400</v>
      </c>
      <c r="L18" s="310" t="s">
        <v>661</v>
      </c>
      <c r="M18" s="310"/>
      <c r="N18" s="310"/>
    </row>
    <row r="19" spans="1:14" s="14" customFormat="1" ht="31.2">
      <c r="A19" s="233" t="s">
        <v>53</v>
      </c>
      <c r="B19" s="9" t="s">
        <v>70</v>
      </c>
      <c r="C19" s="24" t="s">
        <v>356</v>
      </c>
      <c r="D19" s="30" t="s">
        <v>669</v>
      </c>
      <c r="E19" s="467">
        <v>15000</v>
      </c>
      <c r="F19" s="67">
        <v>15000</v>
      </c>
      <c r="G19" s="67">
        <f>5500+2800</f>
        <v>8300</v>
      </c>
      <c r="H19" s="67">
        <v>2700</v>
      </c>
      <c r="I19" s="773"/>
      <c r="J19" s="92">
        <v>10</v>
      </c>
      <c r="K19" s="776">
        <v>800</v>
      </c>
      <c r="L19" s="92"/>
      <c r="M19" s="92"/>
      <c r="N19" s="92"/>
    </row>
    <row r="20" spans="1:14" s="14" customFormat="1" ht="27" customHeight="1">
      <c r="A20" s="233" t="s">
        <v>155</v>
      </c>
      <c r="B20" s="9" t="s">
        <v>682</v>
      </c>
      <c r="C20" s="24" t="s">
        <v>673</v>
      </c>
      <c r="D20" s="795" t="s">
        <v>679</v>
      </c>
      <c r="E20" s="467">
        <v>29500</v>
      </c>
      <c r="F20" s="67">
        <v>9500</v>
      </c>
      <c r="G20" s="67">
        <v>0</v>
      </c>
      <c r="H20" s="67">
        <v>4100</v>
      </c>
      <c r="I20" s="773"/>
      <c r="J20" s="92"/>
      <c r="K20" s="776"/>
      <c r="L20" s="92"/>
      <c r="M20" s="92"/>
      <c r="N20" s="92"/>
    </row>
    <row r="21" spans="1:14" ht="16.2">
      <c r="A21" s="230" t="s">
        <v>662</v>
      </c>
      <c r="B21" s="767" t="s">
        <v>663</v>
      </c>
      <c r="C21" s="762"/>
      <c r="D21" s="767"/>
      <c r="E21" s="779"/>
      <c r="F21" s="779"/>
      <c r="G21" s="779"/>
      <c r="H21" s="780">
        <f>H22</f>
        <v>800</v>
      </c>
      <c r="I21" s="781"/>
      <c r="J21" s="778"/>
      <c r="K21" s="778"/>
      <c r="L21" s="778"/>
      <c r="M21" s="778"/>
      <c r="N21" s="778"/>
    </row>
    <row r="22" spans="1:14" ht="31.2">
      <c r="A22" s="218">
        <v>1</v>
      </c>
      <c r="B22" s="80" t="s">
        <v>664</v>
      </c>
      <c r="C22" s="56"/>
      <c r="D22" s="80"/>
      <c r="E22" s="779"/>
      <c r="F22" s="779"/>
      <c r="G22" s="779"/>
      <c r="H22" s="777">
        <v>800</v>
      </c>
      <c r="I22" s="781"/>
      <c r="J22" s="778"/>
      <c r="K22" s="778"/>
      <c r="L22" s="778"/>
      <c r="M22" s="778"/>
      <c r="N22" s="778"/>
    </row>
  </sheetData>
  <mergeCells count="12">
    <mergeCell ref="I5:I6"/>
    <mergeCell ref="J17:K17"/>
    <mergeCell ref="A2:I2"/>
    <mergeCell ref="A3:I3"/>
    <mergeCell ref="H4:I4"/>
    <mergeCell ref="A5:A6"/>
    <mergeCell ref="B5:B6"/>
    <mergeCell ref="C5:C6"/>
    <mergeCell ref="D5:D6"/>
    <mergeCell ref="E5:F5"/>
    <mergeCell ref="G5:G6"/>
    <mergeCell ref="H5:H6"/>
  </mergeCells>
  <phoneticPr fontId="111" type="noConversion"/>
  <printOptions horizontalCentered="1"/>
  <pageMargins left="0.55118110236220474" right="0.43307086614173229" top="0.47244094488188981" bottom="0.35433070866141736" header="0.31496062992125984" footer="0.31496062992125984"/>
  <pageSetup paperSize="9" scale="75"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313F2-58FE-4F1A-9DC5-9166F6FF2DC4}">
  <sheetPr>
    <tabColor rgb="FFFF0000"/>
  </sheetPr>
  <dimension ref="A1:X52"/>
  <sheetViews>
    <sheetView zoomScale="80" zoomScaleNormal="80" zoomScaleSheetLayoutView="100" workbookViewId="0">
      <pane xSplit="2" ySplit="9" topLeftCell="C27" activePane="bottomRight" state="frozen"/>
      <selection pane="topRight" activeCell="C1" sqref="C1"/>
      <selection pane="bottomLeft" activeCell="A10" sqref="A10"/>
      <selection pane="bottomRight" activeCell="N23" sqref="N23"/>
    </sheetView>
  </sheetViews>
  <sheetFormatPr defaultColWidth="8.6640625" defaultRowHeight="15.6"/>
  <cols>
    <col min="1" max="1" width="5.5546875" style="179" customWidth="1"/>
    <col min="2" max="2" width="41.33203125" style="524" customWidth="1"/>
    <col min="3" max="3" width="15.77734375" style="23" hidden="1" customWidth="1"/>
    <col min="4" max="4" width="17.5546875" style="23" hidden="1" customWidth="1"/>
    <col min="5" max="5" width="20.109375" style="23" customWidth="1"/>
    <col min="6" max="6" width="18" style="23" hidden="1" customWidth="1"/>
    <col min="7" max="7" width="17.88671875" style="98" customWidth="1"/>
    <col min="8" max="8" width="21.109375" style="23" customWidth="1"/>
    <col min="9" max="10" width="15.109375" style="23" hidden="1" customWidth="1"/>
    <col min="11" max="11" width="17" style="587" hidden="1" customWidth="1"/>
    <col min="12" max="12" width="30.33203125" style="4" hidden="1" customWidth="1"/>
    <col min="13" max="13" width="15.77734375" style="4" hidden="1" customWidth="1"/>
    <col min="14" max="18" width="30.33203125" style="4" customWidth="1"/>
    <col min="19" max="19" width="14.33203125" style="4" customWidth="1"/>
    <col min="20" max="20" width="42.5546875" style="4" hidden="1" customWidth="1"/>
    <col min="21" max="22" width="0" style="4" hidden="1" customWidth="1"/>
    <col min="23" max="23" width="42.5546875" style="4" hidden="1" customWidth="1"/>
    <col min="24" max="24" width="14.44140625" style="4" bestFit="1" customWidth="1"/>
    <col min="25" max="25" width="8.6640625" style="4"/>
    <col min="26" max="26" width="17.44140625" style="4" customWidth="1"/>
    <col min="27" max="16384" width="8.6640625" style="4"/>
  </cols>
  <sheetData>
    <row r="1" spans="1:24" ht="4.95" customHeight="1">
      <c r="A1" s="799" t="s">
        <v>583</v>
      </c>
      <c r="B1" s="799"/>
      <c r="C1" s="799"/>
      <c r="D1" s="799"/>
      <c r="E1" s="799"/>
      <c r="F1" s="799"/>
      <c r="G1" s="799"/>
      <c r="H1" s="799"/>
      <c r="I1" s="799"/>
      <c r="J1" s="799"/>
      <c r="K1" s="799"/>
      <c r="L1" s="13"/>
      <c r="M1" s="13"/>
      <c r="N1" s="13"/>
      <c r="O1" s="13"/>
      <c r="P1" s="13"/>
      <c r="Q1" s="13"/>
      <c r="R1" s="13"/>
    </row>
    <row r="2" spans="1:24" ht="18.600000000000001" customHeight="1">
      <c r="A2" s="799"/>
      <c r="B2" s="799"/>
      <c r="C2" s="799"/>
      <c r="D2" s="799"/>
      <c r="E2" s="799"/>
      <c r="F2" s="799"/>
      <c r="G2" s="799"/>
      <c r="H2" s="799"/>
      <c r="I2" s="799"/>
      <c r="J2" s="799"/>
      <c r="K2" s="799"/>
      <c r="L2" s="13"/>
      <c r="M2" s="13"/>
      <c r="N2" s="13"/>
      <c r="O2" s="13"/>
      <c r="P2" s="13"/>
      <c r="Q2" s="13"/>
      <c r="R2" s="13"/>
    </row>
    <row r="3" spans="1:24" ht="6" customHeight="1">
      <c r="A3" s="23"/>
      <c r="B3" s="23"/>
      <c r="G3" s="23"/>
      <c r="K3" s="23"/>
      <c r="L3" s="13"/>
      <c r="M3" s="13"/>
      <c r="N3" s="13"/>
      <c r="O3" s="13"/>
      <c r="P3" s="13"/>
      <c r="Q3" s="13"/>
      <c r="R3" s="13"/>
    </row>
    <row r="4" spans="1:24" ht="19.2" customHeight="1">
      <c r="A4" s="2"/>
      <c r="B4" s="3"/>
      <c r="C4" s="524"/>
      <c r="D4" s="104"/>
      <c r="E4" s="104"/>
      <c r="F4" s="104"/>
      <c r="G4" s="597"/>
      <c r="H4" s="806" t="s">
        <v>6</v>
      </c>
      <c r="I4" s="806"/>
      <c r="J4" s="806"/>
      <c r="K4" s="806"/>
      <c r="L4" s="13"/>
      <c r="M4" s="13"/>
      <c r="N4" s="13"/>
      <c r="O4" s="13"/>
      <c r="P4" s="13"/>
      <c r="Q4" s="13"/>
      <c r="R4" s="13"/>
    </row>
    <row r="5" spans="1:24" s="11" customFormat="1" ht="16.8" customHeight="1">
      <c r="A5" s="803" t="s">
        <v>0</v>
      </c>
      <c r="B5" s="803" t="s">
        <v>1</v>
      </c>
      <c r="C5" s="804" t="s">
        <v>3</v>
      </c>
      <c r="D5" s="914" t="s">
        <v>332</v>
      </c>
      <c r="E5" s="915"/>
      <c r="F5" s="798" t="s">
        <v>631</v>
      </c>
      <c r="G5" s="805" t="s">
        <v>632</v>
      </c>
      <c r="H5" s="798" t="s">
        <v>633</v>
      </c>
      <c r="I5" s="798" t="s">
        <v>411</v>
      </c>
      <c r="J5" s="798" t="s">
        <v>552</v>
      </c>
      <c r="K5" s="798" t="s">
        <v>2</v>
      </c>
      <c r="L5" s="800" t="s">
        <v>27</v>
      </c>
      <c r="M5" s="15"/>
      <c r="N5" s="15"/>
      <c r="O5" s="15"/>
      <c r="P5" s="15"/>
      <c r="Q5" s="15"/>
      <c r="R5" s="15"/>
    </row>
    <row r="6" spans="1:24" s="11" customFormat="1" ht="2.4" customHeight="1">
      <c r="A6" s="803"/>
      <c r="B6" s="803"/>
      <c r="C6" s="804"/>
      <c r="D6" s="916"/>
      <c r="E6" s="917"/>
      <c r="F6" s="798"/>
      <c r="G6" s="805"/>
      <c r="H6" s="798"/>
      <c r="I6" s="798"/>
      <c r="J6" s="798"/>
      <c r="K6" s="798"/>
      <c r="L6" s="801"/>
      <c r="M6" s="15"/>
      <c r="N6" s="15"/>
      <c r="O6" s="15"/>
      <c r="P6" s="15"/>
      <c r="Q6" s="15"/>
      <c r="R6" s="15"/>
    </row>
    <row r="7" spans="1:24" s="11" customFormat="1" ht="24" customHeight="1">
      <c r="A7" s="803"/>
      <c r="B7" s="803"/>
      <c r="C7" s="804"/>
      <c r="D7" s="918"/>
      <c r="E7" s="919"/>
      <c r="F7" s="798"/>
      <c r="G7" s="805"/>
      <c r="H7" s="798"/>
      <c r="I7" s="798"/>
      <c r="J7" s="798"/>
      <c r="K7" s="798"/>
      <c r="L7" s="802"/>
      <c r="M7" s="698">
        <f>E8-G8</f>
        <v>90863.802961999987</v>
      </c>
      <c r="N7" s="15"/>
      <c r="O7" s="15"/>
      <c r="P7" s="15"/>
      <c r="Q7" s="15"/>
      <c r="R7" s="15"/>
    </row>
    <row r="8" spans="1:24" s="11" customFormat="1" ht="37.200000000000003" customHeight="1">
      <c r="A8" s="110"/>
      <c r="B8" s="110" t="s">
        <v>29</v>
      </c>
      <c r="C8" s="266">
        <f>C9+C24+C35+C28</f>
        <v>1112313.8770000001</v>
      </c>
      <c r="D8" s="266">
        <f>D9+D24+D35+D28</f>
        <v>141209.13099999999</v>
      </c>
      <c r="E8" s="266">
        <f>E9+E24+E35+E28</f>
        <v>308740.47149999999</v>
      </c>
      <c r="F8" s="266">
        <f>F9+F24+F35+F28</f>
        <v>220727.07023800001</v>
      </c>
      <c r="G8" s="266">
        <f>G9+G24+G35+G28</f>
        <v>217876.668538</v>
      </c>
      <c r="H8" s="637">
        <f>G8/E8*100</f>
        <v>70.569519920552437</v>
      </c>
      <c r="I8" s="266">
        <f t="shared" ref="I8" si="0">I9+I24+I35+I28</f>
        <v>289630.81449999998</v>
      </c>
      <c r="J8" s="637">
        <f>I8/E8*100</f>
        <v>93.810446389760088</v>
      </c>
      <c r="K8" s="227" t="s">
        <v>549</v>
      </c>
      <c r="L8" s="306"/>
      <c r="M8" s="15"/>
      <c r="N8" s="15"/>
      <c r="O8" s="15"/>
      <c r="P8" s="785">
        <f>G8/E8*2</f>
        <v>1.4113903984110487</v>
      </c>
      <c r="Q8" s="15"/>
      <c r="R8" s="15"/>
      <c r="T8" s="342">
        <f>E9-E16</f>
        <v>58713</v>
      </c>
      <c r="X8" s="585"/>
    </row>
    <row r="9" spans="1:24" s="307" customFormat="1" ht="32.4" customHeight="1">
      <c r="A9" s="110" t="s">
        <v>13</v>
      </c>
      <c r="B9" s="111" t="s">
        <v>607</v>
      </c>
      <c r="C9" s="112">
        <f>'KH 2023'!E8</f>
        <v>229100</v>
      </c>
      <c r="D9" s="112">
        <f>'KH 2023'!F8</f>
        <v>34310.110999999997</v>
      </c>
      <c r="E9" s="112">
        <f>'KH 2023'!G8</f>
        <v>65663</v>
      </c>
      <c r="F9" s="112">
        <f>'KH 2023'!H8</f>
        <v>32583.113194000001</v>
      </c>
      <c r="G9" s="112">
        <f>'KH 2023'!I8</f>
        <v>32056.209193999999</v>
      </c>
      <c r="H9" s="126">
        <f>'KH 2023'!J8</f>
        <v>48.819288174466593</v>
      </c>
      <c r="I9" s="266">
        <f>'KH 2023'!K8</f>
        <v>50348</v>
      </c>
      <c r="J9" s="126">
        <f>'KH 2023'!L8</f>
        <v>76.676362639538254</v>
      </c>
      <c r="K9" s="526"/>
      <c r="L9" s="37"/>
      <c r="M9" s="621">
        <f>(G9/(E9-E16))*100</f>
        <v>54.598145545279579</v>
      </c>
      <c r="N9" s="140"/>
      <c r="O9" s="140"/>
      <c r="P9" s="140"/>
      <c r="Q9" s="140"/>
      <c r="R9" s="140"/>
      <c r="S9" s="521"/>
      <c r="T9" s="505">
        <f>G9/T8</f>
        <v>0.54598145545279575</v>
      </c>
      <c r="X9" s="527">
        <f>G9/(E9-1000-6800)*100</f>
        <v>55.400185254826049</v>
      </c>
    </row>
    <row r="10" spans="1:24" s="39" customFormat="1" ht="32.4" customHeight="1">
      <c r="A10" s="110" t="s">
        <v>9</v>
      </c>
      <c r="B10" s="111" t="s">
        <v>154</v>
      </c>
      <c r="C10" s="112">
        <f>'KH 2023'!E9</f>
        <v>124300</v>
      </c>
      <c r="D10" s="112">
        <f>'KH 2023'!F9</f>
        <v>12612.534</v>
      </c>
      <c r="E10" s="112">
        <f>'KH 2023'!G9</f>
        <v>27006</v>
      </c>
      <c r="F10" s="112">
        <f>'KH 2023'!H9</f>
        <v>15360.824000000001</v>
      </c>
      <c r="G10" s="112">
        <f>'KH 2023'!I9</f>
        <v>14833.92</v>
      </c>
      <c r="H10" s="126">
        <f>'KH 2023'!J9</f>
        <v>54.928238169295717</v>
      </c>
      <c r="I10" s="266">
        <f>'KH 2023'!K9</f>
        <v>22691</v>
      </c>
      <c r="J10" s="126">
        <f>'KH 2023'!L9</f>
        <v>84.022069169814117</v>
      </c>
      <c r="K10" s="526"/>
      <c r="L10" s="37"/>
      <c r="M10" s="620">
        <f>G10/(E10-E16)</f>
        <v>0.7396250498603909</v>
      </c>
      <c r="N10" s="140"/>
      <c r="O10" s="140"/>
      <c r="P10" s="140"/>
      <c r="Q10" s="140"/>
      <c r="R10" s="140"/>
      <c r="S10" s="308"/>
      <c r="T10" s="342"/>
      <c r="X10" s="529">
        <f>G10/(E10-6800)*100</f>
        <v>73.413441552014262</v>
      </c>
    </row>
    <row r="11" spans="1:24" s="87" customFormat="1" ht="19.95" hidden="1" customHeight="1">
      <c r="A11" s="127">
        <v>1</v>
      </c>
      <c r="B11" s="57" t="s">
        <v>8</v>
      </c>
      <c r="C11" s="48">
        <f>'KH 2023'!E10</f>
        <v>52700</v>
      </c>
      <c r="D11" s="48">
        <f>'KH 2023'!F10</f>
        <v>3244</v>
      </c>
      <c r="E11" s="48">
        <f>'KH 2023'!G10</f>
        <v>11056</v>
      </c>
      <c r="F11" s="48">
        <f>'KH 2023'!H10</f>
        <v>5945.1149999999998</v>
      </c>
      <c r="G11" s="48">
        <f>'KH 2023'!I10</f>
        <v>5418.2110000000002</v>
      </c>
      <c r="H11" s="267">
        <f>'KH 2023'!J10</f>
        <v>49.006973589001454</v>
      </c>
      <c r="I11" s="67">
        <f>'KH 2023'!K10</f>
        <v>11056</v>
      </c>
      <c r="J11" s="267">
        <f>'KH 2023'!L10</f>
        <v>100</v>
      </c>
      <c r="K11" s="116"/>
      <c r="L11" s="113"/>
      <c r="M11" s="17"/>
      <c r="N11" s="17"/>
      <c r="O11" s="17"/>
      <c r="P11" s="17"/>
      <c r="Q11" s="17"/>
      <c r="R11" s="17"/>
      <c r="T11" s="475"/>
    </row>
    <row r="12" spans="1:24" s="87" customFormat="1" ht="19.95" hidden="1" customHeight="1">
      <c r="A12" s="127" t="s">
        <v>35</v>
      </c>
      <c r="B12" s="476" t="s">
        <v>59</v>
      </c>
      <c r="C12" s="48">
        <f>'KH 2023'!E11</f>
        <v>0</v>
      </c>
      <c r="D12" s="48">
        <f>'KH 2023'!F11</f>
        <v>0</v>
      </c>
      <c r="E12" s="48">
        <f>'KH 2023'!G11</f>
        <v>456.57299999999998</v>
      </c>
      <c r="F12" s="48">
        <f>'KH 2023'!H11</f>
        <v>456.57299999999998</v>
      </c>
      <c r="G12" s="48">
        <f>'KH 2023'!I11</f>
        <v>429.66899999999998</v>
      </c>
      <c r="H12" s="267">
        <f>'KH 2023'!J11</f>
        <v>94.107404511436286</v>
      </c>
      <c r="I12" s="67"/>
      <c r="J12" s="481"/>
      <c r="K12" s="116"/>
      <c r="L12" s="113"/>
      <c r="M12" s="17"/>
      <c r="N12" s="17"/>
      <c r="O12" s="17"/>
      <c r="P12" s="17"/>
      <c r="Q12" s="17"/>
      <c r="R12" s="17"/>
      <c r="T12" s="475"/>
    </row>
    <row r="13" spans="1:24" s="87" customFormat="1" ht="19.95" hidden="1" customHeight="1">
      <c r="A13" s="127" t="s">
        <v>35</v>
      </c>
      <c r="B13" s="476" t="s">
        <v>63</v>
      </c>
      <c r="C13" s="48">
        <f>'KH 2023'!E31</f>
        <v>49700</v>
      </c>
      <c r="D13" s="48">
        <f>'KH 2023'!F31</f>
        <v>2344</v>
      </c>
      <c r="E13" s="48">
        <f>'KH 2023'!G31</f>
        <v>9024.2899999999991</v>
      </c>
      <c r="F13" s="48">
        <f>'KH 2023'!H31</f>
        <v>3919.4600000000005</v>
      </c>
      <c r="G13" s="48">
        <f>'KH 2023'!I31</f>
        <v>3419.4600000000005</v>
      </c>
      <c r="H13" s="267">
        <f>'KH 2023'!J31</f>
        <v>37.891734418995853</v>
      </c>
      <c r="I13" s="67"/>
      <c r="J13" s="481"/>
      <c r="K13" s="116"/>
      <c r="L13" s="113"/>
      <c r="M13" s="17"/>
      <c r="N13" s="17"/>
      <c r="O13" s="17"/>
      <c r="P13" s="17"/>
      <c r="Q13" s="17"/>
      <c r="R13" s="17"/>
      <c r="T13" s="475"/>
    </row>
    <row r="14" spans="1:24" s="87" customFormat="1" ht="19.95" hidden="1" customHeight="1">
      <c r="A14" s="477" t="s">
        <v>35</v>
      </c>
      <c r="B14" s="476" t="s">
        <v>10</v>
      </c>
      <c r="C14" s="48">
        <f>'KH 2023'!E27</f>
        <v>1900</v>
      </c>
      <c r="D14" s="48">
        <f>'KH 2023'!F27</f>
        <v>900</v>
      </c>
      <c r="E14" s="48">
        <f>'KH 2023'!G27</f>
        <v>956.80199999999991</v>
      </c>
      <c r="F14" s="48">
        <f>'KH 2023'!H27</f>
        <v>956.80199999999991</v>
      </c>
      <c r="G14" s="48">
        <f>'KH 2023'!I27</f>
        <v>956.80199999999991</v>
      </c>
      <c r="H14" s="267">
        <f>'KH 2023'!J27</f>
        <v>100</v>
      </c>
      <c r="I14" s="67"/>
      <c r="J14" s="481"/>
      <c r="K14" s="116"/>
      <c r="L14" s="113"/>
      <c r="M14" s="17"/>
      <c r="N14" s="17"/>
      <c r="O14" s="17"/>
      <c r="P14" s="17"/>
      <c r="Q14" s="17"/>
      <c r="R14" s="17"/>
      <c r="T14" s="475"/>
    </row>
    <row r="15" spans="1:24" s="87" customFormat="1" ht="19.95" hidden="1" customHeight="1">
      <c r="A15" s="478" t="s">
        <v>35</v>
      </c>
      <c r="B15" s="57" t="s">
        <v>12</v>
      </c>
      <c r="C15" s="48">
        <f>'KH 2023'!E40</f>
        <v>1100</v>
      </c>
      <c r="D15" s="48">
        <f>'KH 2023'!F40</f>
        <v>0</v>
      </c>
      <c r="E15" s="48">
        <f>'KH 2023'!G40</f>
        <v>618.33500000000004</v>
      </c>
      <c r="F15" s="48">
        <f>'KH 2023'!H40</f>
        <v>612.28</v>
      </c>
      <c r="G15" s="48">
        <f>'KH 2023'!I40</f>
        <v>612.28</v>
      </c>
      <c r="H15" s="267">
        <f>'KH 2023'!J40</f>
        <v>99.020757356449167</v>
      </c>
      <c r="I15" s="67"/>
      <c r="J15" s="481"/>
      <c r="K15" s="116"/>
      <c r="L15" s="113"/>
      <c r="M15" s="17"/>
      <c r="N15" s="17"/>
      <c r="O15" s="17"/>
      <c r="P15" s="17"/>
      <c r="Q15" s="17"/>
      <c r="R15" s="17"/>
      <c r="T15" s="475"/>
    </row>
    <row r="16" spans="1:24" s="87" customFormat="1" ht="19.95" hidden="1" customHeight="1">
      <c r="A16" s="127">
        <v>2</v>
      </c>
      <c r="B16" s="57" t="s">
        <v>625</v>
      </c>
      <c r="C16" s="48">
        <f>'KH 2023'!E42</f>
        <v>39500</v>
      </c>
      <c r="D16" s="48">
        <f>'KH 2023'!F42</f>
        <v>8528.5339999999997</v>
      </c>
      <c r="E16" s="48">
        <f>'KH 2023'!G42</f>
        <v>6950</v>
      </c>
      <c r="F16" s="48">
        <f>'KH 2023'!H42</f>
        <v>2634.3780000000002</v>
      </c>
      <c r="G16" s="48">
        <f>'KH 2023'!I42</f>
        <v>2634.3780000000002</v>
      </c>
      <c r="H16" s="267">
        <f>'KH 2023'!J42</f>
        <v>37.904719424460431</v>
      </c>
      <c r="I16" s="67">
        <f>'KH 2023'!K42</f>
        <v>2635</v>
      </c>
      <c r="J16" s="267">
        <f>'KH 2023'!L42</f>
        <v>37.913669064748198</v>
      </c>
      <c r="K16" s="116"/>
      <c r="L16" s="113"/>
      <c r="M16" s="17"/>
      <c r="N16" s="17"/>
      <c r="O16" s="17"/>
      <c r="P16" s="17"/>
      <c r="Q16" s="17"/>
      <c r="R16" s="17"/>
      <c r="T16" s="475"/>
    </row>
    <row r="17" spans="1:24" s="87" customFormat="1" ht="19.95" hidden="1" customHeight="1">
      <c r="A17" s="478" t="s">
        <v>35</v>
      </c>
      <c r="B17" s="57" t="s">
        <v>16</v>
      </c>
      <c r="C17" s="48">
        <f>'KH 2023'!E43</f>
        <v>39000</v>
      </c>
      <c r="D17" s="48">
        <f>'KH 2023'!F43</f>
        <v>8528.5339999999997</v>
      </c>
      <c r="E17" s="48">
        <f>'KH 2023'!G43</f>
        <v>6800</v>
      </c>
      <c r="F17" s="48">
        <f>'KH 2023'!H43</f>
        <v>2484.857</v>
      </c>
      <c r="G17" s="48">
        <f>'KH 2023'!I43</f>
        <v>2484.857</v>
      </c>
      <c r="H17" s="267">
        <f>'KH 2023'!J43</f>
        <v>36.542014705882352</v>
      </c>
      <c r="I17" s="67"/>
      <c r="J17" s="481"/>
      <c r="K17" s="116"/>
      <c r="L17" s="113"/>
      <c r="M17" s="17"/>
      <c r="N17" s="17"/>
      <c r="O17" s="17"/>
      <c r="P17" s="17"/>
      <c r="Q17" s="17"/>
      <c r="R17" s="17"/>
      <c r="T17" s="475"/>
    </row>
    <row r="18" spans="1:24" s="87" customFormat="1" ht="19.95" hidden="1" customHeight="1">
      <c r="A18" s="478" t="s">
        <v>35</v>
      </c>
      <c r="B18" s="57" t="s">
        <v>17</v>
      </c>
      <c r="C18" s="48">
        <f>'KH 2023'!E47</f>
        <v>500</v>
      </c>
      <c r="D18" s="48">
        <f>'KH 2023'!F47</f>
        <v>0</v>
      </c>
      <c r="E18" s="48">
        <f>'KH 2023'!G47</f>
        <v>150</v>
      </c>
      <c r="F18" s="48">
        <f>'KH 2023'!H47</f>
        <v>149.52099999999999</v>
      </c>
      <c r="G18" s="48">
        <f>'KH 2023'!I47</f>
        <v>149.52099999999999</v>
      </c>
      <c r="H18" s="267">
        <f>'KH 2023'!J47</f>
        <v>99.680666666666667</v>
      </c>
      <c r="I18" s="67"/>
      <c r="J18" s="481"/>
      <c r="K18" s="116"/>
      <c r="L18" s="113"/>
      <c r="M18" s="17"/>
      <c r="N18" s="17"/>
      <c r="O18" s="17"/>
      <c r="P18" s="17"/>
      <c r="Q18" s="17"/>
      <c r="R18" s="17"/>
      <c r="T18" s="475"/>
    </row>
    <row r="19" spans="1:24" s="87" customFormat="1" ht="19.95" hidden="1" customHeight="1">
      <c r="A19" s="127">
        <v>3</v>
      </c>
      <c r="B19" s="57" t="s">
        <v>161</v>
      </c>
      <c r="C19" s="77">
        <f>'KH 2023'!E49</f>
        <v>32100</v>
      </c>
      <c r="D19" s="77">
        <f>'KH 2023'!F49</f>
        <v>840</v>
      </c>
      <c r="E19" s="77">
        <f>'KH 2023'!G49</f>
        <v>9000</v>
      </c>
      <c r="F19" s="77">
        <f>'KH 2023'!H49</f>
        <v>6781.3310000000001</v>
      </c>
      <c r="G19" s="77">
        <f>'KH 2023'!I49</f>
        <v>6781.3310000000001</v>
      </c>
      <c r="H19" s="268">
        <f>'KH 2023'!J49</f>
        <v>75.34812222222223</v>
      </c>
      <c r="I19" s="64">
        <f>'KH 2023'!K49</f>
        <v>9000</v>
      </c>
      <c r="J19" s="268">
        <f>'KH 2023'!L49</f>
        <v>100</v>
      </c>
      <c r="K19" s="75"/>
      <c r="L19" s="113"/>
      <c r="M19" s="17"/>
      <c r="N19" s="17"/>
      <c r="O19" s="17"/>
      <c r="P19" s="17"/>
      <c r="Q19" s="17"/>
      <c r="R19" s="17"/>
      <c r="T19" s="475"/>
    </row>
    <row r="20" spans="1:24" s="92" customFormat="1" ht="19.95" hidden="1" customHeight="1">
      <c r="A20" s="115">
        <v>4</v>
      </c>
      <c r="B20" s="57" t="s">
        <v>41</v>
      </c>
      <c r="C20" s="48">
        <f>'KH 2023'!E58</f>
        <v>0</v>
      </c>
      <c r="D20" s="48">
        <f>'KH 2023'!F58</f>
        <v>0</v>
      </c>
      <c r="E20" s="48">
        <f>'KH 2023'!G58</f>
        <v>0</v>
      </c>
      <c r="F20" s="48">
        <f>'KH 2023'!H58</f>
        <v>0</v>
      </c>
      <c r="G20" s="48">
        <f>'KH 2023'!I58</f>
        <v>0</v>
      </c>
      <c r="H20" s="267" t="e">
        <f>'KH 2023'!J58</f>
        <v>#DIV/0!</v>
      </c>
      <c r="I20" s="67"/>
      <c r="J20" s="481"/>
      <c r="K20" s="116"/>
      <c r="L20" s="243"/>
      <c r="M20" s="14"/>
      <c r="N20" s="14"/>
      <c r="O20" s="14"/>
      <c r="P20" s="14"/>
      <c r="Q20" s="14"/>
      <c r="R20" s="14"/>
      <c r="T20" s="342"/>
    </row>
    <row r="21" spans="1:24" s="310" customFormat="1" ht="19.95" hidden="1" customHeight="1">
      <c r="A21" s="724">
        <v>5</v>
      </c>
      <c r="B21" s="146" t="s">
        <v>55</v>
      </c>
      <c r="C21" s="40">
        <f>'KH 2023'!E61</f>
        <v>0</v>
      </c>
      <c r="D21" s="40">
        <f>'KH 2023'!F61</f>
        <v>0</v>
      </c>
      <c r="E21" s="40">
        <f>'KH 2023'!G61</f>
        <v>0</v>
      </c>
      <c r="F21" s="40">
        <f>'KH 2023'!H61</f>
        <v>0</v>
      </c>
      <c r="G21" s="40">
        <f>'KH 2023'!I61</f>
        <v>0</v>
      </c>
      <c r="H21" s="638" t="e">
        <f>'KH 2023'!J61</f>
        <v>#DIV/0!</v>
      </c>
      <c r="I21" s="161"/>
      <c r="J21" s="725"/>
      <c r="K21" s="154"/>
      <c r="L21" s="309"/>
      <c r="M21" s="44"/>
      <c r="N21" s="44"/>
      <c r="O21" s="44"/>
      <c r="P21" s="44"/>
      <c r="Q21" s="44"/>
      <c r="R21" s="44"/>
      <c r="T21" s="342"/>
    </row>
    <row r="22" spans="1:24" s="16" customFormat="1" ht="31.2" customHeight="1">
      <c r="A22" s="117" t="s">
        <v>14</v>
      </c>
      <c r="B22" s="125" t="s">
        <v>153</v>
      </c>
      <c r="C22" s="62">
        <f>'KH 2023'!E64</f>
        <v>87900</v>
      </c>
      <c r="D22" s="62">
        <f>'KH 2023'!F64</f>
        <v>19000</v>
      </c>
      <c r="E22" s="62">
        <f>'KH 2023'!G64</f>
        <v>20000</v>
      </c>
      <c r="F22" s="62">
        <f>'KH 2023'!H64</f>
        <v>12710.078</v>
      </c>
      <c r="G22" s="62">
        <f>'KH 2023'!I64</f>
        <v>12710.078</v>
      </c>
      <c r="H22" s="229">
        <f>'KH 2023'!J64</f>
        <v>63.55039</v>
      </c>
      <c r="I22" s="673">
        <f>'KH 2023'!K64</f>
        <v>16000</v>
      </c>
      <c r="J22" s="229">
        <f>'KH 2023'!L64</f>
        <v>80</v>
      </c>
      <c r="K22" s="526"/>
      <c r="L22" s="128"/>
      <c r="M22" s="620">
        <f>G22/(E22-0)</f>
        <v>0.63550390000000001</v>
      </c>
      <c r="N22" s="138"/>
      <c r="O22" s="138"/>
      <c r="P22" s="138"/>
      <c r="Q22" s="138"/>
      <c r="R22" s="138"/>
      <c r="S22" s="133"/>
      <c r="T22" s="342"/>
      <c r="X22" s="528">
        <f>G22/(E22-1000)*100</f>
        <v>66.89514736842105</v>
      </c>
    </row>
    <row r="23" spans="1:24" s="16" customFormat="1" ht="25.2" customHeight="1">
      <c r="A23" s="117" t="s">
        <v>299</v>
      </c>
      <c r="B23" s="125" t="s">
        <v>22</v>
      </c>
      <c r="C23" s="62">
        <f>'KH 2023'!E75</f>
        <v>16900</v>
      </c>
      <c r="D23" s="62">
        <f>'KH 2023'!F75</f>
        <v>2697.5770000000002</v>
      </c>
      <c r="E23" s="62">
        <f>'KH 2023'!G75</f>
        <v>18657</v>
      </c>
      <c r="F23" s="62">
        <f>'KH 2023'!H75</f>
        <v>4512.2111939999995</v>
      </c>
      <c r="G23" s="62">
        <f>'KH 2023'!I75</f>
        <v>4512.2111939999995</v>
      </c>
      <c r="H23" s="229">
        <f>'KH 2023'!J75</f>
        <v>24.185084386557321</v>
      </c>
      <c r="I23" s="673">
        <f>'KH 2023'!K75</f>
        <v>11657</v>
      </c>
      <c r="J23" s="229">
        <f>'KH 2023'!L75</f>
        <v>62.480570295331503</v>
      </c>
      <c r="K23" s="109"/>
      <c r="L23" s="128"/>
      <c r="M23" s="138"/>
      <c r="N23" s="138"/>
      <c r="O23" s="138"/>
      <c r="P23" s="138"/>
      <c r="Q23" s="138"/>
      <c r="R23" s="138">
        <f>6/27</f>
        <v>0.22222222222222221</v>
      </c>
      <c r="S23" s="133"/>
      <c r="T23" s="342"/>
    </row>
    <row r="24" spans="1:24" s="138" customFormat="1" ht="24" customHeight="1">
      <c r="A24" s="117" t="s">
        <v>23</v>
      </c>
      <c r="B24" s="125" t="s">
        <v>334</v>
      </c>
      <c r="C24" s="62">
        <f>'CT MTQG 2023'!E9</f>
        <v>464298.63099999999</v>
      </c>
      <c r="D24" s="62">
        <f>'CT MTQG 2023'!G9</f>
        <v>105699.01999999999</v>
      </c>
      <c r="E24" s="229">
        <f>'CT MTQG 2023'!H9</f>
        <v>117495</v>
      </c>
      <c r="F24" s="229">
        <f>'CT MTQG 2023'!I9</f>
        <v>81555.288364000007</v>
      </c>
      <c r="G24" s="229">
        <f>'CT MTQG 2023'!J9</f>
        <v>81148.890364000006</v>
      </c>
      <c r="H24" s="229">
        <f>'CT MTQG 2023'!K9</f>
        <v>69.065824387420747</v>
      </c>
      <c r="I24" s="673">
        <f>'CT MTQG 2023'!L9</f>
        <v>115265</v>
      </c>
      <c r="J24" s="229">
        <f>'CT MTQG 2023'!M9</f>
        <v>98.102046895612588</v>
      </c>
      <c r="K24" s="109"/>
      <c r="L24" s="128"/>
      <c r="M24" s="635"/>
      <c r="R24" s="138">
        <f>27*0.3</f>
        <v>8.1</v>
      </c>
      <c r="T24" s="453"/>
    </row>
    <row r="25" spans="1:24" s="17" customFormat="1" ht="21.6" customHeight="1">
      <c r="A25" s="127" t="s">
        <v>9</v>
      </c>
      <c r="B25" s="58" t="s">
        <v>333</v>
      </c>
      <c r="C25" s="48">
        <f>'CT MTQG 2023'!E10</f>
        <v>5941.3600000000006</v>
      </c>
      <c r="D25" s="48">
        <f>'CT MTQG 2023'!G10</f>
        <v>1268.06</v>
      </c>
      <c r="E25" s="48">
        <f>'CT MTQG 2023'!H10</f>
        <v>2250</v>
      </c>
      <c r="F25" s="48">
        <f>'CT MTQG 2023'!I10</f>
        <v>1831.9400949999999</v>
      </c>
      <c r="G25" s="48">
        <f>'CT MTQG 2023'!J10</f>
        <v>1831.9400949999999</v>
      </c>
      <c r="H25" s="267">
        <f>'CT MTQG 2023'!K10</f>
        <v>81.419559777777778</v>
      </c>
      <c r="I25" s="67">
        <f>'CT MTQG 2023'!L10</f>
        <v>2250</v>
      </c>
      <c r="J25" s="267">
        <f>'CT MTQG 2023'!M10</f>
        <v>100</v>
      </c>
      <c r="K25" s="116"/>
      <c r="M25" s="634"/>
      <c r="T25" s="453"/>
    </row>
    <row r="26" spans="1:24" s="17" customFormat="1" ht="21.6" customHeight="1">
      <c r="A26" s="56" t="s">
        <v>14</v>
      </c>
      <c r="B26" s="58" t="s">
        <v>166</v>
      </c>
      <c r="C26" s="48">
        <f>'CT MTQG 2023'!E23</f>
        <v>167244.78899999999</v>
      </c>
      <c r="D26" s="48">
        <f>'CT MTQG 2023'!G23</f>
        <v>64384</v>
      </c>
      <c r="E26" s="48">
        <f>'CT MTQG 2023'!H23</f>
        <v>41166</v>
      </c>
      <c r="F26" s="48">
        <f>'CT MTQG 2023'!I23</f>
        <v>32590.019699999997</v>
      </c>
      <c r="G26" s="48">
        <f>'CT MTQG 2023'!J23</f>
        <v>32568.8197</v>
      </c>
      <c r="H26" s="267">
        <f>'CT MTQG 2023'!K23</f>
        <v>79.115823009279509</v>
      </c>
      <c r="I26" s="67">
        <f>'CT MTQG 2023'!L23</f>
        <v>41166</v>
      </c>
      <c r="J26" s="267">
        <f>'CT MTQG 2023'!M23</f>
        <v>100</v>
      </c>
      <c r="K26" s="116"/>
      <c r="M26" s="634"/>
      <c r="T26" s="453"/>
    </row>
    <row r="27" spans="1:24" s="17" customFormat="1" ht="38.4" customHeight="1">
      <c r="A27" s="56" t="s">
        <v>15</v>
      </c>
      <c r="B27" s="58" t="s">
        <v>167</v>
      </c>
      <c r="C27" s="48">
        <f>'CT MTQG 2023'!E90</f>
        <v>291112.48200000002</v>
      </c>
      <c r="D27" s="48">
        <f>'CT MTQG 2023'!G90</f>
        <v>40046.959999999999</v>
      </c>
      <c r="E27" s="48">
        <f>'CT MTQG 2023'!H90</f>
        <v>74079</v>
      </c>
      <c r="F27" s="48">
        <f>'CT MTQG 2023'!I90</f>
        <v>47133.328569000005</v>
      </c>
      <c r="G27" s="48">
        <f>'CT MTQG 2023'!J90</f>
        <v>46748.130569000008</v>
      </c>
      <c r="H27" s="267">
        <f>'CT MTQG 2023'!K90</f>
        <v>63.105779733797718</v>
      </c>
      <c r="I27" s="67">
        <f>'CT MTQG 2023'!L90</f>
        <v>71849</v>
      </c>
      <c r="J27" s="267">
        <f>'CT MTQG 2023'!M90</f>
        <v>96.989700184937703</v>
      </c>
      <c r="K27" s="116"/>
      <c r="M27" s="634"/>
      <c r="T27" s="453"/>
    </row>
    <row r="28" spans="1:24" s="455" customFormat="1" ht="25.2" customHeight="1">
      <c r="A28" s="726" t="s">
        <v>20</v>
      </c>
      <c r="B28" s="727" t="s">
        <v>556</v>
      </c>
      <c r="C28" s="62">
        <f>'VON 22 KEO DAI 23'!E8</f>
        <v>412315.24600000004</v>
      </c>
      <c r="D28" s="62">
        <f t="shared" ref="D28" si="1">D29+D33+D34</f>
        <v>1200</v>
      </c>
      <c r="E28" s="62">
        <f>'VON 22 KEO DAI 23'!L8</f>
        <v>119582.4715</v>
      </c>
      <c r="F28" s="62">
        <f>'VON 22 KEO DAI 23'!M8</f>
        <v>101173.45068000001</v>
      </c>
      <c r="G28" s="62">
        <f>'VON 22 KEO DAI 23'!N8</f>
        <v>99256.350979999988</v>
      </c>
      <c r="H28" s="126">
        <f>'VON 22 KEO DAI 23'!O8</f>
        <v>83.002424799356973</v>
      </c>
      <c r="I28" s="266">
        <f>'VON 22 KEO DAI 23'!P8</f>
        <v>118017.81450000001</v>
      </c>
      <c r="J28" s="126">
        <f>'VON 22 KEO DAI 23'!Q8</f>
        <v>98.691566598036076</v>
      </c>
      <c r="K28" s="454"/>
      <c r="T28" s="453"/>
      <c r="V28" s="455">
        <f>20/44*100</f>
        <v>45.454545454545453</v>
      </c>
    </row>
    <row r="29" spans="1:24" s="104" customFormat="1" ht="18" customHeight="1">
      <c r="A29" s="155" t="s">
        <v>9</v>
      </c>
      <c r="B29" s="57" t="s">
        <v>497</v>
      </c>
      <c r="C29" s="48">
        <f>'VON 22 KEO DAI 23'!E9</f>
        <v>350030.96</v>
      </c>
      <c r="D29" s="48">
        <f>'VON 22 KEO DAI 23'!F9</f>
        <v>1200</v>
      </c>
      <c r="E29" s="48">
        <f>'VON 22 KEO DAI 23'!L9</f>
        <v>113613.7115</v>
      </c>
      <c r="F29" s="48">
        <f>'VON 22 KEO DAI 23'!M9</f>
        <v>97792.855680000008</v>
      </c>
      <c r="G29" s="48">
        <f>'VON 22 KEO DAI 23'!N9</f>
        <v>95875.755979999987</v>
      </c>
      <c r="H29" s="267">
        <f>'VON 22 KEO DAI 23'!O9</f>
        <v>84.387486962786156</v>
      </c>
      <c r="I29" s="67">
        <f>'VON 22 KEO DAI 23'!P9</f>
        <v>113613.7115</v>
      </c>
      <c r="J29" s="267">
        <f>'VON 22 KEO DAI 23'!Q9</f>
        <v>100</v>
      </c>
      <c r="K29" s="456"/>
      <c r="T29" s="453"/>
    </row>
    <row r="30" spans="1:24" s="460" customFormat="1" ht="18" customHeight="1">
      <c r="A30" s="148" t="s">
        <v>35</v>
      </c>
      <c r="B30" s="461" t="s">
        <v>333</v>
      </c>
      <c r="C30" s="41">
        <f>'VON 22 KEO DAI 23'!E10</f>
        <v>25368.459999999995</v>
      </c>
      <c r="D30" s="41"/>
      <c r="E30" s="41">
        <f>'VON 22 KEO DAI 23'!L10</f>
        <v>14098.9915</v>
      </c>
      <c r="F30" s="41">
        <f>'VON 22 KEO DAI 23'!M10</f>
        <v>12470.4148</v>
      </c>
      <c r="G30" s="41">
        <f>'VON 22 KEO DAI 23'!N10</f>
        <v>12097.009799999998</v>
      </c>
      <c r="H30" s="458">
        <f>'VON 22 KEO DAI 23'!O10</f>
        <v>85.800532612563089</v>
      </c>
      <c r="I30" s="794">
        <f>'VON 22 KEO DAI 23'!P10</f>
        <v>14098.991500000002</v>
      </c>
      <c r="J30" s="458">
        <f>'VON 22 KEO DAI 23'!Q10</f>
        <v>100.00000000000003</v>
      </c>
      <c r="K30" s="459"/>
      <c r="T30" s="462"/>
    </row>
    <row r="31" spans="1:24" s="460" customFormat="1" ht="18" customHeight="1">
      <c r="A31" s="148" t="s">
        <v>35</v>
      </c>
      <c r="B31" s="461" t="s">
        <v>166</v>
      </c>
      <c r="C31" s="41">
        <f>'VON 22 KEO DAI 23'!E51</f>
        <v>123790</v>
      </c>
      <c r="D31" s="41"/>
      <c r="E31" s="41">
        <f>'VON 22 KEO DAI 23'!L51</f>
        <v>46922.675000000003</v>
      </c>
      <c r="F31" s="41">
        <f>'VON 22 KEO DAI 23'!M51</f>
        <v>41829.118179999998</v>
      </c>
      <c r="G31" s="41">
        <f>'VON 22 KEO DAI 23'!N51</f>
        <v>40786.420179999994</v>
      </c>
      <c r="H31" s="458">
        <f>'VON 22 KEO DAI 23'!O51</f>
        <v>86.92262361427602</v>
      </c>
      <c r="I31" s="794">
        <f>'VON 22 KEO DAI 23'!P51</f>
        <v>46922.674999999996</v>
      </c>
      <c r="J31" s="458">
        <f>'VON 22 KEO DAI 23'!Q51</f>
        <v>99.999999999999986</v>
      </c>
      <c r="K31" s="459"/>
      <c r="T31" s="462"/>
    </row>
    <row r="32" spans="1:24" s="460" customFormat="1" ht="36" customHeight="1">
      <c r="A32" s="148" t="s">
        <v>35</v>
      </c>
      <c r="B32" s="461" t="s">
        <v>167</v>
      </c>
      <c r="C32" s="41">
        <f>'VON 22 KEO DAI 23'!E106</f>
        <v>200872.50000000003</v>
      </c>
      <c r="D32" s="41"/>
      <c r="E32" s="41">
        <f>'VON 22 KEO DAI 23'!L106</f>
        <v>52592.045000000006</v>
      </c>
      <c r="F32" s="41">
        <f>'VON 22 KEO DAI 23'!M106</f>
        <v>43493.322700000004</v>
      </c>
      <c r="G32" s="41">
        <f>'VON 22 KEO DAI 23'!N106</f>
        <v>42992.326000000001</v>
      </c>
      <c r="H32" s="458">
        <f>'VON 22 KEO DAI 23'!O106</f>
        <v>81.746823117450546</v>
      </c>
      <c r="I32" s="794">
        <f>'VON 22 KEO DAI 23'!P106</f>
        <v>52592.045000000006</v>
      </c>
      <c r="J32" s="458">
        <f>'VON 22 KEO DAI 23'!Q106</f>
        <v>100</v>
      </c>
      <c r="K32" s="459"/>
      <c r="T32" s="462"/>
    </row>
    <row r="33" spans="1:11" ht="18" customHeight="1">
      <c r="A33" s="271" t="s">
        <v>14</v>
      </c>
      <c r="B33" s="57" t="s">
        <v>162</v>
      </c>
      <c r="C33" s="48">
        <f>'VON 22 KEO DAI 23'!E211</f>
        <v>19515.054</v>
      </c>
      <c r="D33" s="728">
        <f>'VON 22 KEO DAI 23'!F211</f>
        <v>0</v>
      </c>
      <c r="E33" s="48">
        <f>'VON 22 KEO DAI 23'!L211</f>
        <v>3276.59</v>
      </c>
      <c r="F33" s="48">
        <f>'VON 22 KEO DAI 23'!M211</f>
        <v>2276.59</v>
      </c>
      <c r="G33" s="48">
        <f>'VON 22 KEO DAI 23'!N211</f>
        <v>2276.59</v>
      </c>
      <c r="H33" s="267">
        <f>'VON 22 KEO DAI 23'!O211</f>
        <v>69.48046597224554</v>
      </c>
      <c r="I33" s="67">
        <f>'VON 22 KEO DAI 23'!P211</f>
        <v>3276.59</v>
      </c>
      <c r="J33" s="267">
        <f>'VON 22 KEO DAI 23'!Q211</f>
        <v>100</v>
      </c>
      <c r="K33" s="255"/>
    </row>
    <row r="34" spans="1:11" ht="18" customHeight="1">
      <c r="A34" s="271" t="s">
        <v>15</v>
      </c>
      <c r="B34" s="57" t="s">
        <v>154</v>
      </c>
      <c r="C34" s="181">
        <f>'VON 22 KEO DAI 23'!E215</f>
        <v>42769.232000000004</v>
      </c>
      <c r="D34" s="728">
        <f>'VON 22 KEO DAI 23'!F215</f>
        <v>0</v>
      </c>
      <c r="E34" s="48">
        <f>'VON 22 KEO DAI 23'!L215</f>
        <v>2692.1699999999992</v>
      </c>
      <c r="F34" s="48">
        <f>'VON 22 KEO DAI 23'!M215</f>
        <v>1104.0050000000001</v>
      </c>
      <c r="G34" s="48">
        <f>'VON 22 KEO DAI 23'!N215</f>
        <v>1104.0050000000001</v>
      </c>
      <c r="H34" s="458">
        <f>'VON 22 KEO DAI 23'!O215</f>
        <v>41.007997266145914</v>
      </c>
      <c r="I34" s="794">
        <f>'VON 22 KEO DAI 23'!P215</f>
        <v>1127.5129999999997</v>
      </c>
      <c r="J34" s="458">
        <f>'VON 22 KEO DAI 23'!Q215</f>
        <v>41.881196209749014</v>
      </c>
      <c r="K34" s="255"/>
    </row>
    <row r="35" spans="1:11" s="209" customFormat="1" ht="19.8" customHeight="1">
      <c r="A35" s="110" t="s">
        <v>21</v>
      </c>
      <c r="B35" s="111" t="s">
        <v>47</v>
      </c>
      <c r="C35" s="62">
        <f>C36</f>
        <v>6600</v>
      </c>
      <c r="D35" s="457">
        <f t="shared" ref="D35:J35" si="2">D36</f>
        <v>0</v>
      </c>
      <c r="E35" s="62">
        <f t="shared" si="2"/>
        <v>6000</v>
      </c>
      <c r="F35" s="62">
        <f t="shared" si="2"/>
        <v>5415.2180000000008</v>
      </c>
      <c r="G35" s="62">
        <f t="shared" si="2"/>
        <v>5415.2180000000008</v>
      </c>
      <c r="H35" s="229">
        <f t="shared" si="2"/>
        <v>90.253633333333354</v>
      </c>
      <c r="I35" s="673">
        <f t="shared" si="2"/>
        <v>6000</v>
      </c>
      <c r="J35" s="229">
        <f t="shared" si="2"/>
        <v>100</v>
      </c>
      <c r="K35" s="264"/>
    </row>
    <row r="36" spans="1:11" ht="21.6" hidden="1" customHeight="1">
      <c r="A36" s="72" t="s">
        <v>9</v>
      </c>
      <c r="B36" s="57" t="s">
        <v>33</v>
      </c>
      <c r="C36" s="48">
        <f>'LUT BAO'!F8</f>
        <v>6600</v>
      </c>
      <c r="D36" s="729"/>
      <c r="E36" s="48">
        <f>'LUT BAO'!G8</f>
        <v>6000</v>
      </c>
      <c r="F36" s="48">
        <f>'LUT BAO'!H8</f>
        <v>5415.2180000000008</v>
      </c>
      <c r="G36" s="48">
        <f>'LUT BAO'!I8</f>
        <v>5415.2180000000008</v>
      </c>
      <c r="H36" s="267">
        <f>'LUT BAO'!J8</f>
        <v>90.253633333333354</v>
      </c>
      <c r="I36" s="67">
        <f>'LUT BAO'!M8</f>
        <v>6000</v>
      </c>
      <c r="J36" s="267">
        <f>'LUT BAO'!N8</f>
        <v>100</v>
      </c>
      <c r="K36" s="255"/>
    </row>
    <row r="37" spans="1:11" hidden="1">
      <c r="A37" s="72" t="s">
        <v>14</v>
      </c>
      <c r="B37" s="57" t="s">
        <v>32</v>
      </c>
      <c r="C37" s="48" t="e">
        <f>#REF!</f>
        <v>#REF!</v>
      </c>
      <c r="D37" s="48"/>
      <c r="E37" s="48"/>
      <c r="F37" s="48"/>
      <c r="G37" s="48"/>
      <c r="H37" s="267"/>
      <c r="I37" s="267"/>
      <c r="J37" s="267"/>
      <c r="K37" s="255"/>
    </row>
    <row r="38" spans="1:11" hidden="1">
      <c r="A38" s="72" t="s">
        <v>15</v>
      </c>
      <c r="B38" s="57" t="s">
        <v>34</v>
      </c>
      <c r="C38" s="48"/>
      <c r="D38" s="48"/>
      <c r="E38" s="48"/>
      <c r="F38" s="48"/>
      <c r="G38" s="48"/>
      <c r="H38" s="267"/>
      <c r="I38" s="267"/>
      <c r="J38" s="267"/>
      <c r="K38" s="255"/>
    </row>
    <row r="39" spans="1:11" ht="30.6" hidden="1" customHeight="1">
      <c r="A39" s="72" t="s">
        <v>36</v>
      </c>
      <c r="B39" s="57" t="s">
        <v>37</v>
      </c>
      <c r="C39" s="311"/>
      <c r="D39" s="311"/>
      <c r="E39" s="311"/>
      <c r="F39" s="311"/>
      <c r="G39" s="311"/>
      <c r="H39" s="312"/>
      <c r="I39" s="312"/>
      <c r="J39" s="312"/>
      <c r="K39" s="586"/>
    </row>
    <row r="42" spans="1:11" ht="24.6" customHeight="1">
      <c r="B42" s="797"/>
      <c r="C42" s="797"/>
      <c r="D42" s="797"/>
      <c r="E42" s="797"/>
      <c r="F42" s="797"/>
      <c r="G42" s="797"/>
      <c r="H42" s="797"/>
      <c r="I42" s="797"/>
      <c r="J42" s="797"/>
      <c r="K42" s="797"/>
    </row>
    <row r="49" spans="2:2">
      <c r="B49" s="23"/>
    </row>
    <row r="50" spans="2:2">
      <c r="B50" s="23"/>
    </row>
    <row r="51" spans="2:2">
      <c r="B51" s="23"/>
    </row>
    <row r="52" spans="2:2">
      <c r="B52" s="23"/>
    </row>
  </sheetData>
  <mergeCells count="14">
    <mergeCell ref="L5:L7"/>
    <mergeCell ref="B42:K42"/>
    <mergeCell ref="D5:E7"/>
    <mergeCell ref="A1:K2"/>
    <mergeCell ref="H4:K4"/>
    <mergeCell ref="A5:A7"/>
    <mergeCell ref="B5:B7"/>
    <mergeCell ref="C5:C7"/>
    <mergeCell ref="F5:F7"/>
    <mergeCell ref="G5:G7"/>
    <mergeCell ref="H5:H7"/>
    <mergeCell ref="I5:I7"/>
    <mergeCell ref="J5:J7"/>
    <mergeCell ref="K5:K7"/>
  </mergeCells>
  <printOptions horizontalCentered="1"/>
  <pageMargins left="0.39370078740157483" right="0.23622047244094491" top="0.59055118110236227" bottom="0.39370078740157483" header="0.31496062992125984" footer="0.31496062992125984"/>
  <pageSetup paperSize="9" scale="65"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AD80"/>
  <sheetViews>
    <sheetView zoomScale="70" zoomScaleNormal="70" zoomScaleSheetLayoutView="80" workbookViewId="0">
      <pane xSplit="3" ySplit="9" topLeftCell="D41" activePane="bottomRight" state="frozen"/>
      <selection pane="topRight" activeCell="D1" sqref="D1"/>
      <selection pane="bottomLeft" activeCell="A10" sqref="A10"/>
      <selection pane="bottomRight" activeCell="AC44" sqref="AC44"/>
    </sheetView>
  </sheetViews>
  <sheetFormatPr defaultColWidth="8.6640625" defaultRowHeight="15.6"/>
  <cols>
    <col min="1" max="1" width="7.5546875" style="11" customWidth="1"/>
    <col min="2" max="2" width="44.21875" style="96" customWidth="1"/>
    <col min="3" max="3" width="11.21875" style="5" customWidth="1"/>
    <col min="4" max="4" width="20.33203125" style="97" customWidth="1"/>
    <col min="5" max="5" width="15.21875" style="23" customWidth="1"/>
    <col min="6" max="6" width="14.5546875" style="103" customWidth="1"/>
    <col min="7" max="7" width="14.6640625" style="314" customWidth="1"/>
    <col min="8" max="8" width="16.44140625" style="332" customWidth="1"/>
    <col min="9" max="9" width="14.88671875" style="304" customWidth="1"/>
    <col min="10" max="10" width="14.33203125" style="305" customWidth="1"/>
    <col min="11" max="12" width="14" style="4" customWidth="1"/>
    <col min="13" max="13" width="17.88671875" style="384" customWidth="1"/>
    <col min="14" max="14" width="12.109375" style="100" hidden="1" customWidth="1"/>
    <col min="15" max="15" width="17.44140625" style="4" hidden="1" customWidth="1"/>
    <col min="16" max="16" width="43.44140625" style="101" hidden="1" customWidth="1"/>
    <col min="17" max="17" width="13.88671875" style="4" hidden="1" customWidth="1"/>
    <col min="18" max="21" width="8.6640625" style="4" hidden="1" customWidth="1"/>
    <col min="22" max="22" width="14.6640625" style="4" hidden="1" customWidth="1"/>
    <col min="23" max="23" width="8.6640625" style="4" hidden="1" customWidth="1"/>
    <col min="24" max="24" width="13.44140625" style="4" hidden="1" customWidth="1"/>
    <col min="25" max="28" width="8.6640625" style="4" customWidth="1"/>
    <col min="29" max="29" width="14.6640625" style="4" customWidth="1"/>
    <col min="30" max="30" width="12.6640625" style="4" customWidth="1"/>
    <col min="31" max="47" width="8.6640625" style="4" customWidth="1"/>
    <col min="48" max="16384" width="8.6640625" style="4"/>
  </cols>
  <sheetData>
    <row r="1" spans="1:17" ht="17.399999999999999" customHeight="1">
      <c r="A1" s="807" t="s">
        <v>25</v>
      </c>
      <c r="B1" s="807"/>
      <c r="C1" s="807"/>
      <c r="D1" s="807"/>
      <c r="E1" s="807"/>
      <c r="F1" s="807"/>
      <c r="G1" s="807"/>
      <c r="H1" s="807"/>
      <c r="I1" s="807"/>
      <c r="J1" s="807"/>
      <c r="K1" s="807"/>
      <c r="L1" s="807"/>
      <c r="M1" s="807"/>
      <c r="N1" s="138"/>
      <c r="O1" s="104"/>
      <c r="P1" s="32"/>
    </row>
    <row r="2" spans="1:17" ht="24" customHeight="1">
      <c r="A2" s="808" t="s">
        <v>318</v>
      </c>
      <c r="B2" s="808"/>
      <c r="C2" s="808"/>
      <c r="D2" s="808"/>
      <c r="E2" s="808"/>
      <c r="F2" s="808"/>
      <c r="G2" s="808"/>
      <c r="H2" s="808"/>
      <c r="I2" s="808"/>
      <c r="J2" s="808"/>
      <c r="K2" s="808"/>
      <c r="L2" s="808"/>
      <c r="M2" s="808"/>
      <c r="N2" s="140"/>
      <c r="O2" s="104"/>
      <c r="P2" s="32"/>
    </row>
    <row r="3" spans="1:17" ht="24.6" customHeight="1">
      <c r="A3" s="809" t="s">
        <v>597</v>
      </c>
      <c r="B3" s="809"/>
      <c r="C3" s="809"/>
      <c r="D3" s="809"/>
      <c r="E3" s="809"/>
      <c r="F3" s="809"/>
      <c r="G3" s="809"/>
      <c r="H3" s="809"/>
      <c r="I3" s="809"/>
      <c r="J3" s="809"/>
      <c r="K3" s="809"/>
      <c r="L3" s="809"/>
      <c r="M3" s="809"/>
      <c r="N3" s="141"/>
      <c r="O3" s="104"/>
      <c r="P3" s="248"/>
    </row>
    <row r="4" spans="1:17" ht="23.4" customHeight="1">
      <c r="A4" s="2"/>
      <c r="B4" s="3"/>
      <c r="C4" s="2"/>
      <c r="D4" s="2"/>
      <c r="E4" s="104"/>
      <c r="F4" s="105"/>
      <c r="G4" s="105"/>
      <c r="H4" s="328"/>
      <c r="I4" s="269"/>
      <c r="J4" s="811" t="s">
        <v>6</v>
      </c>
      <c r="K4" s="811"/>
      <c r="L4" s="811"/>
      <c r="M4" s="811"/>
      <c r="N4" s="142"/>
      <c r="O4" s="104"/>
      <c r="P4" s="584" t="s">
        <v>48</v>
      </c>
    </row>
    <row r="5" spans="1:17" s="11" customFormat="1" ht="24" customHeight="1">
      <c r="A5" s="803" t="s">
        <v>0</v>
      </c>
      <c r="B5" s="803" t="s">
        <v>1</v>
      </c>
      <c r="C5" s="803" t="s">
        <v>142</v>
      </c>
      <c r="D5" s="803" t="s">
        <v>128</v>
      </c>
      <c r="E5" s="804" t="s">
        <v>3</v>
      </c>
      <c r="F5" s="810" t="s">
        <v>28</v>
      </c>
      <c r="G5" s="810"/>
      <c r="H5" s="798" t="s">
        <v>631</v>
      </c>
      <c r="I5" s="805" t="s">
        <v>632</v>
      </c>
      <c r="J5" s="798" t="s">
        <v>633</v>
      </c>
      <c r="K5" s="818" t="s">
        <v>411</v>
      </c>
      <c r="L5" s="798" t="s">
        <v>552</v>
      </c>
      <c r="M5" s="798" t="s">
        <v>2</v>
      </c>
      <c r="N5" s="814" t="s">
        <v>85</v>
      </c>
      <c r="O5" s="813" t="s">
        <v>56</v>
      </c>
      <c r="P5" s="805" t="s">
        <v>30</v>
      </c>
    </row>
    <row r="6" spans="1:17" s="11" customFormat="1">
      <c r="A6" s="803"/>
      <c r="B6" s="803"/>
      <c r="C6" s="803"/>
      <c r="D6" s="803"/>
      <c r="E6" s="804"/>
      <c r="F6" s="810" t="s">
        <v>332</v>
      </c>
      <c r="G6" s="817" t="s">
        <v>302</v>
      </c>
      <c r="H6" s="798"/>
      <c r="I6" s="805"/>
      <c r="J6" s="798"/>
      <c r="K6" s="819"/>
      <c r="L6" s="798"/>
      <c r="M6" s="798"/>
      <c r="N6" s="815"/>
      <c r="O6" s="813"/>
      <c r="P6" s="805"/>
    </row>
    <row r="7" spans="1:17" s="11" customFormat="1" ht="28.8" customHeight="1">
      <c r="A7" s="803"/>
      <c r="B7" s="803"/>
      <c r="C7" s="803"/>
      <c r="D7" s="803"/>
      <c r="E7" s="804"/>
      <c r="F7" s="810"/>
      <c r="G7" s="817"/>
      <c r="H7" s="798"/>
      <c r="I7" s="805"/>
      <c r="J7" s="798"/>
      <c r="K7" s="820"/>
      <c r="L7" s="798"/>
      <c r="M7" s="798"/>
      <c r="N7" s="816"/>
      <c r="O7" s="813"/>
      <c r="P7" s="805"/>
    </row>
    <row r="8" spans="1:17" s="36" customFormat="1" ht="31.8" customHeight="1">
      <c r="A8" s="110"/>
      <c r="B8" s="110" t="s">
        <v>29</v>
      </c>
      <c r="C8" s="110"/>
      <c r="D8" s="24"/>
      <c r="E8" s="112">
        <f>E9+E64+E75</f>
        <v>229100</v>
      </c>
      <c r="F8" s="315">
        <f>F9+F64+F75</f>
        <v>34310.110999999997</v>
      </c>
      <c r="G8" s="315">
        <f>G9+G64+G75</f>
        <v>65663</v>
      </c>
      <c r="H8" s="112">
        <f>H9+H64+H75</f>
        <v>32583.113194000001</v>
      </c>
      <c r="I8" s="112">
        <f>I9+I64+I75</f>
        <v>32056.209193999999</v>
      </c>
      <c r="J8" s="126">
        <f>I8/G8*100</f>
        <v>48.819288174466593</v>
      </c>
      <c r="K8" s="112">
        <f>K9+K64+K75</f>
        <v>50348</v>
      </c>
      <c r="L8" s="522">
        <f t="shared" ref="L8:L40" si="0">K8/G8*100</f>
        <v>76.676362639538254</v>
      </c>
      <c r="M8" s="348" t="s">
        <v>417</v>
      </c>
      <c r="N8" s="109"/>
      <c r="O8" s="245">
        <f t="shared" ref="O8:O47" si="1">G8-I8</f>
        <v>33606.790806000005</v>
      </c>
      <c r="P8" s="34"/>
      <c r="Q8" s="531">
        <f t="shared" ref="Q8:Q40" si="2">H8-I8</f>
        <v>526.90400000000227</v>
      </c>
    </row>
    <row r="9" spans="1:17" s="39" customFormat="1" ht="21.6" customHeight="1">
      <c r="A9" s="110" t="s">
        <v>13</v>
      </c>
      <c r="B9" s="111" t="s">
        <v>7</v>
      </c>
      <c r="C9" s="110"/>
      <c r="D9" s="110"/>
      <c r="E9" s="112">
        <f>E10+E42+E49+E58+E61</f>
        <v>124300</v>
      </c>
      <c r="F9" s="315">
        <f>F10+F42+F49+F58+F61</f>
        <v>12612.534</v>
      </c>
      <c r="G9" s="315">
        <f>G10+G42+G49+G58+G61</f>
        <v>27006</v>
      </c>
      <c r="H9" s="112">
        <f>H10+H42+H49+H58+H61</f>
        <v>15360.824000000001</v>
      </c>
      <c r="I9" s="112">
        <f>I10+I42+I49+I58+I61</f>
        <v>14833.92</v>
      </c>
      <c r="J9" s="126">
        <f t="shared" ref="J9:J77" si="3">I9/G9*100</f>
        <v>54.928238169295717</v>
      </c>
      <c r="K9" s="112">
        <f>K10+K42+K49+K58+K61</f>
        <v>22691</v>
      </c>
      <c r="L9" s="522">
        <f t="shared" si="0"/>
        <v>84.022069169814117</v>
      </c>
      <c r="M9" s="37"/>
      <c r="N9" s="37"/>
      <c r="O9" s="245">
        <f t="shared" si="1"/>
        <v>12172.08</v>
      </c>
      <c r="P9" s="34"/>
      <c r="Q9" s="531">
        <f t="shared" si="2"/>
        <v>526.90400000000045</v>
      </c>
    </row>
    <row r="10" spans="1:17" s="51" customFormat="1" ht="16.2">
      <c r="A10" s="162" t="s">
        <v>9</v>
      </c>
      <c r="B10" s="146" t="s">
        <v>8</v>
      </c>
      <c r="C10" s="147"/>
      <c r="D10" s="147"/>
      <c r="E10" s="40">
        <f>E27+E40+E11+E31</f>
        <v>52700</v>
      </c>
      <c r="F10" s="318">
        <f>F27+F40+F11+F31</f>
        <v>3244</v>
      </c>
      <c r="G10" s="318">
        <f>G27+G40+G11+G31</f>
        <v>11056</v>
      </c>
      <c r="H10" s="40">
        <f>H27+H40+H11+H31</f>
        <v>5945.1149999999998</v>
      </c>
      <c r="I10" s="40">
        <f>I27+I40+I11+I31</f>
        <v>5418.2110000000002</v>
      </c>
      <c r="J10" s="152">
        <f t="shared" si="3"/>
        <v>49.006973589001454</v>
      </c>
      <c r="K10" s="40">
        <f>K27+K40+K11+K31</f>
        <v>11056</v>
      </c>
      <c r="L10" s="533">
        <f t="shared" si="0"/>
        <v>100</v>
      </c>
      <c r="M10" s="145"/>
      <c r="N10" s="153"/>
      <c r="O10" s="479">
        <f t="shared" si="1"/>
        <v>5637.7889999999998</v>
      </c>
      <c r="P10" s="49" t="s">
        <v>316</v>
      </c>
      <c r="Q10" s="531">
        <f t="shared" si="2"/>
        <v>526.90399999999954</v>
      </c>
    </row>
    <row r="11" spans="1:17" s="51" customFormat="1" ht="32.4">
      <c r="A11" s="230" t="s">
        <v>39</v>
      </c>
      <c r="B11" s="231" t="s">
        <v>305</v>
      </c>
      <c r="C11" s="147"/>
      <c r="D11" s="147"/>
      <c r="E11" s="40"/>
      <c r="F11" s="318"/>
      <c r="G11" s="577">
        <f>SUM(G12:G26)</f>
        <v>456.57299999999998</v>
      </c>
      <c r="H11" s="577">
        <f t="shared" ref="H11:K11" si="4">SUM(H12:H26)</f>
        <v>456.57299999999998</v>
      </c>
      <c r="I11" s="577">
        <f t="shared" si="4"/>
        <v>429.66899999999998</v>
      </c>
      <c r="J11" s="152">
        <f t="shared" si="3"/>
        <v>94.107404511436286</v>
      </c>
      <c r="K11" s="791">
        <f t="shared" si="4"/>
        <v>456.57299999999998</v>
      </c>
      <c r="L11" s="152">
        <f t="shared" si="0"/>
        <v>100</v>
      </c>
      <c r="M11" s="625"/>
      <c r="N11" s="153"/>
      <c r="O11" s="479">
        <f t="shared" si="1"/>
        <v>26.903999999999996</v>
      </c>
      <c r="P11" s="583" t="s">
        <v>578</v>
      </c>
      <c r="Q11" s="531">
        <f t="shared" si="2"/>
        <v>26.903999999999996</v>
      </c>
    </row>
    <row r="12" spans="1:17" s="558" customFormat="1" ht="31.2">
      <c r="A12" s="155">
        <v>1</v>
      </c>
      <c r="B12" s="66" t="s">
        <v>566</v>
      </c>
      <c r="C12" s="557">
        <v>7885336</v>
      </c>
      <c r="D12" s="72" t="s">
        <v>292</v>
      </c>
      <c r="E12" s="563">
        <v>791.26949999999999</v>
      </c>
      <c r="F12" s="562">
        <v>790.02449999999999</v>
      </c>
      <c r="G12" s="563">
        <v>1.2450000000000001</v>
      </c>
      <c r="H12" s="563">
        <v>1.2450000000000001</v>
      </c>
      <c r="I12" s="24"/>
      <c r="J12" s="79">
        <f t="shared" si="3"/>
        <v>0</v>
      </c>
      <c r="K12" s="48">
        <f t="shared" ref="K12:K26" si="5">H12</f>
        <v>1.2450000000000001</v>
      </c>
      <c r="L12" s="523">
        <f t="shared" si="0"/>
        <v>100</v>
      </c>
      <c r="M12" s="503"/>
      <c r="N12" s="153"/>
      <c r="O12" s="479">
        <f t="shared" si="1"/>
        <v>1.2450000000000001</v>
      </c>
      <c r="P12" s="153"/>
      <c r="Q12" s="531">
        <f t="shared" si="2"/>
        <v>1.2450000000000001</v>
      </c>
    </row>
    <row r="13" spans="1:17" s="17" customFormat="1" ht="31.2">
      <c r="A13" s="155">
        <v>2</v>
      </c>
      <c r="B13" s="66" t="s">
        <v>567</v>
      </c>
      <c r="C13" s="559">
        <v>7784288</v>
      </c>
      <c r="D13" s="72" t="s">
        <v>584</v>
      </c>
      <c r="E13" s="564">
        <v>812.64099999999996</v>
      </c>
      <c r="F13" s="564">
        <v>810.82099999999991</v>
      </c>
      <c r="G13" s="564">
        <v>1.82</v>
      </c>
      <c r="H13" s="564">
        <v>1.82</v>
      </c>
      <c r="I13" s="564">
        <v>1.82</v>
      </c>
      <c r="J13" s="79">
        <f t="shared" si="3"/>
        <v>100</v>
      </c>
      <c r="K13" s="48">
        <f t="shared" si="5"/>
        <v>1.82</v>
      </c>
      <c r="L13" s="523">
        <f t="shared" si="0"/>
        <v>100</v>
      </c>
      <c r="M13" s="503"/>
      <c r="N13" s="113"/>
      <c r="O13" s="479">
        <f t="shared" si="1"/>
        <v>0</v>
      </c>
      <c r="P13" s="113"/>
      <c r="Q13" s="531">
        <f t="shared" si="2"/>
        <v>0</v>
      </c>
    </row>
    <row r="14" spans="1:17" s="558" customFormat="1" ht="31.2">
      <c r="A14" s="155">
        <v>3</v>
      </c>
      <c r="B14" s="66" t="s">
        <v>43</v>
      </c>
      <c r="C14" s="30">
        <v>7929248</v>
      </c>
      <c r="D14" s="72" t="s">
        <v>585</v>
      </c>
      <c r="E14" s="576">
        <v>445.94880000000001</v>
      </c>
      <c r="F14" s="565">
        <v>443.4248</v>
      </c>
      <c r="G14" s="566">
        <v>2.524</v>
      </c>
      <c r="H14" s="566">
        <v>2.524</v>
      </c>
      <c r="I14" s="623">
        <v>2.524</v>
      </c>
      <c r="J14" s="79">
        <f t="shared" si="3"/>
        <v>100</v>
      </c>
      <c r="K14" s="48">
        <f t="shared" si="5"/>
        <v>2.524</v>
      </c>
      <c r="L14" s="523">
        <f t="shared" si="0"/>
        <v>100</v>
      </c>
      <c r="M14" s="504"/>
      <c r="N14" s="153"/>
      <c r="O14" s="479">
        <f t="shared" si="1"/>
        <v>0</v>
      </c>
      <c r="P14" s="153"/>
      <c r="Q14" s="521">
        <f t="shared" si="2"/>
        <v>0</v>
      </c>
    </row>
    <row r="15" spans="1:17" s="14" customFormat="1" ht="46.8">
      <c r="A15" s="155">
        <v>4</v>
      </c>
      <c r="B15" s="560" t="s">
        <v>568</v>
      </c>
      <c r="C15" s="561">
        <v>7752166</v>
      </c>
      <c r="D15" s="47" t="s">
        <v>532</v>
      </c>
      <c r="E15" s="572">
        <v>263.63799999999998</v>
      </c>
      <c r="F15" s="567">
        <v>262.14400000000001</v>
      </c>
      <c r="G15" s="568">
        <v>1.494</v>
      </c>
      <c r="H15" s="568">
        <v>1.494</v>
      </c>
      <c r="I15" s="564">
        <f t="shared" ref="I15:I20" si="6">H15</f>
        <v>1.494</v>
      </c>
      <c r="J15" s="79">
        <f t="shared" si="3"/>
        <v>100</v>
      </c>
      <c r="K15" s="48">
        <f t="shared" si="5"/>
        <v>1.494</v>
      </c>
      <c r="L15" s="523">
        <f t="shared" si="0"/>
        <v>100</v>
      </c>
      <c r="M15" s="503"/>
      <c r="N15" s="113"/>
      <c r="O15" s="479">
        <f t="shared" si="1"/>
        <v>0</v>
      </c>
      <c r="P15" s="113"/>
      <c r="Q15" s="531">
        <f t="shared" si="2"/>
        <v>0</v>
      </c>
    </row>
    <row r="16" spans="1:17" s="44" customFormat="1" ht="31.2">
      <c r="A16" s="155">
        <v>5</v>
      </c>
      <c r="B16" s="560" t="s">
        <v>569</v>
      </c>
      <c r="C16" s="561">
        <v>7899502</v>
      </c>
      <c r="D16" s="47" t="s">
        <v>532</v>
      </c>
      <c r="E16" s="572">
        <v>163.23500000000001</v>
      </c>
      <c r="F16" s="567">
        <v>162.31</v>
      </c>
      <c r="G16" s="568">
        <v>0.92500000000000004</v>
      </c>
      <c r="H16" s="568">
        <v>0.92500000000000004</v>
      </c>
      <c r="I16" s="564">
        <f t="shared" si="6"/>
        <v>0.92500000000000004</v>
      </c>
      <c r="J16" s="79">
        <f t="shared" si="3"/>
        <v>100</v>
      </c>
      <c r="K16" s="48">
        <f t="shared" si="5"/>
        <v>0.92500000000000004</v>
      </c>
      <c r="L16" s="523">
        <f t="shared" si="0"/>
        <v>100</v>
      </c>
      <c r="M16" s="578"/>
      <c r="N16" s="153"/>
      <c r="O16" s="479">
        <f t="shared" si="1"/>
        <v>0</v>
      </c>
      <c r="P16" s="153"/>
      <c r="Q16" s="531">
        <f t="shared" si="2"/>
        <v>0</v>
      </c>
    </row>
    <row r="17" spans="1:22" s="14" customFormat="1" ht="31.2">
      <c r="A17" s="155">
        <v>6</v>
      </c>
      <c r="B17" s="560" t="s">
        <v>570</v>
      </c>
      <c r="C17" s="561">
        <v>7911840</v>
      </c>
      <c r="D17" s="47" t="s">
        <v>532</v>
      </c>
      <c r="E17" s="572">
        <v>6900.0829999999996</v>
      </c>
      <c r="F17" s="567">
        <v>6876.8419999999996</v>
      </c>
      <c r="G17" s="568">
        <v>23.241</v>
      </c>
      <c r="H17" s="568">
        <v>23.241</v>
      </c>
      <c r="I17" s="564">
        <f t="shared" si="6"/>
        <v>23.241</v>
      </c>
      <c r="J17" s="79">
        <f t="shared" si="3"/>
        <v>100</v>
      </c>
      <c r="K17" s="48">
        <f t="shared" si="5"/>
        <v>23.241</v>
      </c>
      <c r="L17" s="523">
        <f t="shared" si="0"/>
        <v>100</v>
      </c>
      <c r="M17" s="503"/>
      <c r="N17" s="113"/>
      <c r="O17" s="479">
        <f t="shared" si="1"/>
        <v>0</v>
      </c>
      <c r="P17" s="113"/>
      <c r="Q17" s="531">
        <f t="shared" si="2"/>
        <v>0</v>
      </c>
    </row>
    <row r="18" spans="1:22" s="14" customFormat="1" ht="31.2">
      <c r="A18" s="155">
        <v>7</v>
      </c>
      <c r="B18" s="560" t="s">
        <v>571</v>
      </c>
      <c r="C18" s="561">
        <v>7956716</v>
      </c>
      <c r="D18" s="47" t="s">
        <v>532</v>
      </c>
      <c r="E18" s="572">
        <v>594.327</v>
      </c>
      <c r="F18" s="567">
        <v>590.95899999999995</v>
      </c>
      <c r="G18" s="569">
        <v>3.3679999999999999</v>
      </c>
      <c r="H18" s="569">
        <v>3.3679999999999999</v>
      </c>
      <c r="I18" s="564">
        <f t="shared" si="6"/>
        <v>3.3679999999999999</v>
      </c>
      <c r="J18" s="79">
        <f t="shared" si="3"/>
        <v>100</v>
      </c>
      <c r="K18" s="48">
        <f t="shared" si="5"/>
        <v>3.3679999999999999</v>
      </c>
      <c r="L18" s="523">
        <f t="shared" si="0"/>
        <v>100</v>
      </c>
      <c r="M18" s="580"/>
      <c r="N18" s="579"/>
      <c r="O18" s="479">
        <f t="shared" si="1"/>
        <v>0</v>
      </c>
      <c r="P18" s="579"/>
      <c r="Q18" s="531">
        <f t="shared" si="2"/>
        <v>0</v>
      </c>
    </row>
    <row r="19" spans="1:22" s="44" customFormat="1" ht="31.2">
      <c r="A19" s="155">
        <v>8</v>
      </c>
      <c r="B19" s="560" t="s">
        <v>572</v>
      </c>
      <c r="C19" s="561">
        <v>7956717</v>
      </c>
      <c r="D19" s="47" t="s">
        <v>532</v>
      </c>
      <c r="E19" s="572">
        <v>1442.029</v>
      </c>
      <c r="F19" s="570">
        <v>1433.856</v>
      </c>
      <c r="G19" s="571">
        <v>8.173</v>
      </c>
      <c r="H19" s="571">
        <v>8.173</v>
      </c>
      <c r="I19" s="562">
        <f t="shared" si="6"/>
        <v>8.173</v>
      </c>
      <c r="J19" s="79">
        <f t="shared" si="3"/>
        <v>100</v>
      </c>
      <c r="K19" s="48">
        <f t="shared" si="5"/>
        <v>8.173</v>
      </c>
      <c r="L19" s="523">
        <f t="shared" si="0"/>
        <v>100</v>
      </c>
      <c r="M19" s="582"/>
      <c r="N19" s="581"/>
      <c r="O19" s="479">
        <f t="shared" si="1"/>
        <v>0</v>
      </c>
      <c r="P19" s="581"/>
      <c r="Q19" s="531">
        <f t="shared" si="2"/>
        <v>0</v>
      </c>
    </row>
    <row r="20" spans="1:22" s="13" customFormat="1" ht="31.2">
      <c r="A20" s="155">
        <v>9</v>
      </c>
      <c r="B20" s="560" t="s">
        <v>573</v>
      </c>
      <c r="C20" s="561">
        <v>7956718</v>
      </c>
      <c r="D20" s="47" t="s">
        <v>532</v>
      </c>
      <c r="E20" s="572">
        <v>892.803</v>
      </c>
      <c r="F20" s="567">
        <v>887.71399999999994</v>
      </c>
      <c r="G20" s="568">
        <v>5.0890000000000004</v>
      </c>
      <c r="H20" s="568">
        <v>5.0890000000000004</v>
      </c>
      <c r="I20" s="564">
        <f t="shared" si="6"/>
        <v>5.0890000000000004</v>
      </c>
      <c r="J20" s="79">
        <f t="shared" si="3"/>
        <v>100</v>
      </c>
      <c r="K20" s="48">
        <f t="shared" si="5"/>
        <v>5.0890000000000004</v>
      </c>
      <c r="L20" s="523">
        <f t="shared" si="0"/>
        <v>100</v>
      </c>
      <c r="M20" s="582"/>
      <c r="N20" s="556"/>
      <c r="O20" s="479">
        <f t="shared" si="1"/>
        <v>0</v>
      </c>
      <c r="P20" s="556"/>
      <c r="Q20" s="531">
        <f t="shared" si="2"/>
        <v>0</v>
      </c>
    </row>
    <row r="21" spans="1:22" s="13" customFormat="1" ht="46.8">
      <c r="A21" s="155">
        <v>10</v>
      </c>
      <c r="B21" s="560" t="s">
        <v>574</v>
      </c>
      <c r="C21" s="561">
        <v>7956719</v>
      </c>
      <c r="D21" s="47" t="s">
        <v>532</v>
      </c>
      <c r="E21" s="572">
        <v>2075.3969999999999</v>
      </c>
      <c r="F21" s="567">
        <v>1966.636</v>
      </c>
      <c r="G21" s="568">
        <v>108.761</v>
      </c>
      <c r="H21" s="568">
        <v>108.761</v>
      </c>
      <c r="I21" s="623">
        <v>96.998999999999995</v>
      </c>
      <c r="J21" s="79">
        <f t="shared" si="3"/>
        <v>89.185461700425705</v>
      </c>
      <c r="K21" s="48">
        <f t="shared" si="5"/>
        <v>108.761</v>
      </c>
      <c r="L21" s="523">
        <f t="shared" si="0"/>
        <v>100</v>
      </c>
      <c r="M21" s="556"/>
      <c r="N21" s="556"/>
      <c r="O21" s="479">
        <f t="shared" si="1"/>
        <v>11.762</v>
      </c>
      <c r="P21" s="556"/>
      <c r="Q21" s="531">
        <f t="shared" si="2"/>
        <v>11.762</v>
      </c>
    </row>
    <row r="22" spans="1:22" s="13" customFormat="1" ht="48" customHeight="1">
      <c r="A22" s="155">
        <v>11</v>
      </c>
      <c r="B22" s="68" t="s">
        <v>575</v>
      </c>
      <c r="C22" s="56">
        <v>7445420</v>
      </c>
      <c r="D22" s="47" t="s">
        <v>532</v>
      </c>
      <c r="E22" s="566">
        <v>56193</v>
      </c>
      <c r="F22" s="566">
        <v>53000</v>
      </c>
      <c r="G22" s="572">
        <v>64.941000000000003</v>
      </c>
      <c r="H22" s="572">
        <v>64.941000000000003</v>
      </c>
      <c r="I22" s="564">
        <f>H22</f>
        <v>64.941000000000003</v>
      </c>
      <c r="J22" s="79">
        <f t="shared" si="3"/>
        <v>100</v>
      </c>
      <c r="K22" s="48">
        <f t="shared" si="5"/>
        <v>64.941000000000003</v>
      </c>
      <c r="L22" s="523">
        <f t="shared" si="0"/>
        <v>100</v>
      </c>
      <c r="M22" s="167"/>
      <c r="N22" s="167"/>
      <c r="O22" s="479">
        <f t="shared" si="1"/>
        <v>0</v>
      </c>
      <c r="P22" s="167"/>
      <c r="Q22" s="531">
        <f t="shared" si="2"/>
        <v>0</v>
      </c>
    </row>
    <row r="23" spans="1:22" s="13" customFormat="1" ht="46.8">
      <c r="A23" s="155">
        <v>12</v>
      </c>
      <c r="B23" s="68" t="s">
        <v>576</v>
      </c>
      <c r="C23" s="56">
        <v>7888659</v>
      </c>
      <c r="D23" s="47" t="s">
        <v>532</v>
      </c>
      <c r="E23" s="566">
        <v>1687.771</v>
      </c>
      <c r="F23" s="573">
        <v>1600</v>
      </c>
      <c r="G23" s="574">
        <v>87.771000000000001</v>
      </c>
      <c r="H23" s="574">
        <v>87.771000000000001</v>
      </c>
      <c r="I23" s="623">
        <v>78.206000000000003</v>
      </c>
      <c r="J23" s="79">
        <f t="shared" si="3"/>
        <v>89.102323090770312</v>
      </c>
      <c r="K23" s="48">
        <f t="shared" si="5"/>
        <v>87.771000000000001</v>
      </c>
      <c r="L23" s="523">
        <f t="shared" si="0"/>
        <v>100</v>
      </c>
      <c r="M23" s="167"/>
      <c r="N23" s="167"/>
      <c r="O23" s="479">
        <f t="shared" si="1"/>
        <v>9.5649999999999977</v>
      </c>
      <c r="P23" s="167"/>
      <c r="Q23" s="531">
        <f t="shared" si="2"/>
        <v>9.5649999999999977</v>
      </c>
    </row>
    <row r="24" spans="1:22" s="13" customFormat="1" ht="32.4" customHeight="1">
      <c r="A24" s="155">
        <v>13</v>
      </c>
      <c r="B24" s="58" t="s">
        <v>577</v>
      </c>
      <c r="C24" s="30">
        <v>7681172</v>
      </c>
      <c r="D24" s="47" t="s">
        <v>532</v>
      </c>
      <c r="E24" s="576">
        <v>19136.838</v>
      </c>
      <c r="F24" s="565">
        <v>19067.053</v>
      </c>
      <c r="G24" s="575">
        <v>69.784999999999997</v>
      </c>
      <c r="H24" s="575">
        <v>69.784999999999997</v>
      </c>
      <c r="I24" s="564">
        <f>H24</f>
        <v>69.784999999999997</v>
      </c>
      <c r="J24" s="79">
        <f t="shared" si="3"/>
        <v>100</v>
      </c>
      <c r="K24" s="48">
        <f t="shared" si="5"/>
        <v>69.784999999999997</v>
      </c>
      <c r="L24" s="523">
        <f t="shared" si="0"/>
        <v>100</v>
      </c>
      <c r="M24" s="167"/>
      <c r="N24" s="167"/>
      <c r="O24" s="479">
        <f t="shared" si="1"/>
        <v>0</v>
      </c>
      <c r="P24" s="167"/>
      <c r="Q24" s="531">
        <f t="shared" si="2"/>
        <v>0</v>
      </c>
    </row>
    <row r="25" spans="1:22" s="13" customFormat="1" ht="31.2">
      <c r="A25" s="155">
        <v>14</v>
      </c>
      <c r="B25" s="58" t="s">
        <v>514</v>
      </c>
      <c r="C25" s="56">
        <v>8025348</v>
      </c>
      <c r="D25" s="47" t="s">
        <v>532</v>
      </c>
      <c r="E25" s="566">
        <v>755.37900000000002</v>
      </c>
      <c r="F25" s="565">
        <v>700</v>
      </c>
      <c r="G25" s="575">
        <v>55.378999999999998</v>
      </c>
      <c r="H25" s="575">
        <v>55.378999999999998</v>
      </c>
      <c r="I25" s="575">
        <v>52.991999999999997</v>
      </c>
      <c r="J25" s="79">
        <f t="shared" si="3"/>
        <v>95.68970187255097</v>
      </c>
      <c r="K25" s="48">
        <f t="shared" si="5"/>
        <v>55.378999999999998</v>
      </c>
      <c r="L25" s="523">
        <f t="shared" si="0"/>
        <v>100</v>
      </c>
      <c r="M25" s="167"/>
      <c r="N25" s="167"/>
      <c r="O25" s="479">
        <f t="shared" si="1"/>
        <v>2.3870000000000005</v>
      </c>
      <c r="P25" s="167"/>
      <c r="Q25" s="531">
        <f t="shared" si="2"/>
        <v>2.3870000000000005</v>
      </c>
    </row>
    <row r="26" spans="1:22" s="13" customFormat="1" ht="31.2">
      <c r="A26" s="155">
        <v>15</v>
      </c>
      <c r="B26" s="58" t="s">
        <v>516</v>
      </c>
      <c r="C26" s="56">
        <v>8025149</v>
      </c>
      <c r="D26" s="47" t="s">
        <v>532</v>
      </c>
      <c r="E26" s="566">
        <v>422.05700000000002</v>
      </c>
      <c r="F26" s="576">
        <v>400</v>
      </c>
      <c r="G26" s="575">
        <v>22.056999999999999</v>
      </c>
      <c r="H26" s="575">
        <v>22.056999999999999</v>
      </c>
      <c r="I26" s="576">
        <v>20.111999999999998</v>
      </c>
      <c r="J26" s="79">
        <f t="shared" si="3"/>
        <v>91.181937706850434</v>
      </c>
      <c r="K26" s="48">
        <f t="shared" si="5"/>
        <v>22.056999999999999</v>
      </c>
      <c r="L26" s="523">
        <f t="shared" si="0"/>
        <v>100</v>
      </c>
      <c r="M26" s="167"/>
      <c r="N26" s="167"/>
      <c r="O26" s="479">
        <f t="shared" si="1"/>
        <v>1.9450000000000003</v>
      </c>
      <c r="P26" s="167"/>
      <c r="Q26" s="531">
        <f t="shared" si="2"/>
        <v>1.9450000000000003</v>
      </c>
    </row>
    <row r="27" spans="1:22" s="44" customFormat="1" ht="16.2">
      <c r="A27" s="230" t="s">
        <v>40</v>
      </c>
      <c r="B27" s="232" t="s">
        <v>337</v>
      </c>
      <c r="C27" s="157"/>
      <c r="D27" s="157"/>
      <c r="E27" s="40">
        <f>SUM(E28:E30)</f>
        <v>1900</v>
      </c>
      <c r="F27" s="318">
        <f t="shared" ref="F27:K27" si="7">SUM(F28:F30)</f>
        <v>900</v>
      </c>
      <c r="G27" s="318">
        <f t="shared" si="7"/>
        <v>956.80199999999991</v>
      </c>
      <c r="H27" s="40">
        <f t="shared" si="7"/>
        <v>956.80199999999991</v>
      </c>
      <c r="I27" s="40">
        <f t="shared" si="7"/>
        <v>956.80199999999991</v>
      </c>
      <c r="J27" s="152">
        <f t="shared" si="3"/>
        <v>100</v>
      </c>
      <c r="K27" s="40">
        <f t="shared" si="7"/>
        <v>956.80199999999991</v>
      </c>
      <c r="L27" s="523">
        <f t="shared" si="0"/>
        <v>100</v>
      </c>
      <c r="M27" s="145"/>
      <c r="N27" s="153"/>
      <c r="O27" s="479">
        <f t="shared" si="1"/>
        <v>0</v>
      </c>
      <c r="P27" s="49"/>
      <c r="Q27" s="531">
        <f t="shared" si="2"/>
        <v>0</v>
      </c>
    </row>
    <row r="28" spans="1:22" s="17" customFormat="1" ht="31.2">
      <c r="A28" s="131">
        <v>1</v>
      </c>
      <c r="B28" s="73" t="s">
        <v>65</v>
      </c>
      <c r="C28" s="226">
        <v>7941457</v>
      </c>
      <c r="D28" s="47" t="s">
        <v>532</v>
      </c>
      <c r="E28" s="74">
        <v>500</v>
      </c>
      <c r="F28" s="322">
        <v>300</v>
      </c>
      <c r="G28" s="322">
        <v>189.18100000000001</v>
      </c>
      <c r="H28" s="65">
        <v>189.18100000000001</v>
      </c>
      <c r="I28" s="65">
        <v>189.18100000000001</v>
      </c>
      <c r="J28" s="79">
        <f t="shared" si="3"/>
        <v>100</v>
      </c>
      <c r="K28" s="65">
        <f>G28</f>
        <v>189.18100000000001</v>
      </c>
      <c r="L28" s="523">
        <f t="shared" si="0"/>
        <v>100</v>
      </c>
      <c r="M28" s="56"/>
      <c r="N28" s="113"/>
      <c r="O28" s="245">
        <f t="shared" si="1"/>
        <v>0</v>
      </c>
      <c r="P28" s="583" t="s">
        <v>579</v>
      </c>
      <c r="Q28" s="531">
        <f t="shared" si="2"/>
        <v>0</v>
      </c>
    </row>
    <row r="29" spans="1:22" s="14" customFormat="1" ht="31.2">
      <c r="A29" s="233">
        <v>2</v>
      </c>
      <c r="B29" s="73" t="s">
        <v>66</v>
      </c>
      <c r="C29" s="24">
        <v>7933150</v>
      </c>
      <c r="D29" s="241" t="s">
        <v>532</v>
      </c>
      <c r="E29" s="74">
        <v>700</v>
      </c>
      <c r="F29" s="317">
        <v>300</v>
      </c>
      <c r="G29" s="317">
        <v>379.83499999999998</v>
      </c>
      <c r="H29" s="242">
        <f>I29</f>
        <v>379.83499999999998</v>
      </c>
      <c r="I29" s="242">
        <v>379.83499999999998</v>
      </c>
      <c r="J29" s="79">
        <f t="shared" si="3"/>
        <v>100</v>
      </c>
      <c r="K29" s="65">
        <f>G29</f>
        <v>379.83499999999998</v>
      </c>
      <c r="L29" s="523">
        <f t="shared" si="0"/>
        <v>100</v>
      </c>
      <c r="M29" s="56"/>
      <c r="N29" s="243"/>
      <c r="O29" s="245">
        <f t="shared" si="1"/>
        <v>0</v>
      </c>
      <c r="P29" s="583" t="s">
        <v>579</v>
      </c>
      <c r="Q29" s="531">
        <f t="shared" si="2"/>
        <v>0</v>
      </c>
      <c r="V29" s="238"/>
    </row>
    <row r="30" spans="1:22" s="14" customFormat="1" ht="31.2">
      <c r="A30" s="233" t="s">
        <v>300</v>
      </c>
      <c r="B30" s="73" t="s">
        <v>69</v>
      </c>
      <c r="C30" s="24">
        <v>7933149</v>
      </c>
      <c r="D30" s="241" t="s">
        <v>532</v>
      </c>
      <c r="E30" s="74">
        <v>700</v>
      </c>
      <c r="F30" s="317">
        <v>300</v>
      </c>
      <c r="G30" s="317">
        <v>387.786</v>
      </c>
      <c r="H30" s="242">
        <f>I30</f>
        <v>387.786</v>
      </c>
      <c r="I30" s="79">
        <v>387.786</v>
      </c>
      <c r="J30" s="79">
        <f t="shared" si="3"/>
        <v>100</v>
      </c>
      <c r="K30" s="65">
        <f>G30</f>
        <v>387.786</v>
      </c>
      <c r="L30" s="523">
        <f t="shared" si="0"/>
        <v>100</v>
      </c>
      <c r="M30" s="56"/>
      <c r="N30" s="243"/>
      <c r="O30" s="245">
        <f t="shared" si="1"/>
        <v>0</v>
      </c>
      <c r="P30" s="583" t="s">
        <v>579</v>
      </c>
      <c r="Q30" s="531">
        <f t="shared" si="2"/>
        <v>0</v>
      </c>
      <c r="V30" s="238"/>
    </row>
    <row r="31" spans="1:22" s="14" customFormat="1" ht="16.2">
      <c r="A31" s="160" t="s">
        <v>62</v>
      </c>
      <c r="B31" s="69" t="s">
        <v>63</v>
      </c>
      <c r="C31" s="70"/>
      <c r="D31" s="56"/>
      <c r="E31" s="161">
        <f>SUM(E32:E39)</f>
        <v>49700</v>
      </c>
      <c r="F31" s="318">
        <f t="shared" ref="F31:K31" si="8">SUM(F32:F39)</f>
        <v>2344</v>
      </c>
      <c r="G31" s="319">
        <f>SUM(G32:G39)</f>
        <v>9024.2899999999991</v>
      </c>
      <c r="H31" s="161">
        <f t="shared" si="8"/>
        <v>3919.4600000000005</v>
      </c>
      <c r="I31" s="161">
        <f t="shared" si="8"/>
        <v>3419.4600000000005</v>
      </c>
      <c r="J31" s="126">
        <f t="shared" si="3"/>
        <v>37.891734418995853</v>
      </c>
      <c r="K31" s="40">
        <f t="shared" si="8"/>
        <v>9024.2899999999991</v>
      </c>
      <c r="L31" s="523">
        <f t="shared" si="0"/>
        <v>100</v>
      </c>
      <c r="M31" s="155"/>
      <c r="N31" s="113"/>
      <c r="O31" s="245">
        <f t="shared" si="1"/>
        <v>5604.8299999999981</v>
      </c>
      <c r="P31" s="66"/>
      <c r="Q31" s="531">
        <f t="shared" si="2"/>
        <v>500</v>
      </c>
    </row>
    <row r="32" spans="1:22" s="14" customFormat="1" ht="31.2">
      <c r="A32" s="236">
        <v>1</v>
      </c>
      <c r="B32" s="58" t="s">
        <v>331</v>
      </c>
      <c r="C32" s="249">
        <v>7883449</v>
      </c>
      <c r="D32" s="47" t="s">
        <v>532</v>
      </c>
      <c r="E32" s="237">
        <v>5500</v>
      </c>
      <c r="F32" s="320"/>
      <c r="G32" s="321">
        <v>371.89299999999997</v>
      </c>
      <c r="H32" s="67">
        <f>I32</f>
        <v>341.97800000000001</v>
      </c>
      <c r="I32" s="67">
        <v>341.97800000000001</v>
      </c>
      <c r="J32" s="79">
        <f t="shared" si="3"/>
        <v>91.956019607790424</v>
      </c>
      <c r="K32" s="65">
        <f t="shared" ref="K32:K39" si="9">G32</f>
        <v>371.89299999999997</v>
      </c>
      <c r="L32" s="523">
        <f t="shared" si="0"/>
        <v>100</v>
      </c>
      <c r="M32" s="381"/>
      <c r="N32" s="250"/>
      <c r="O32" s="245">
        <f t="shared" si="1"/>
        <v>29.914999999999964</v>
      </c>
      <c r="P32" s="583" t="s">
        <v>579</v>
      </c>
      <c r="Q32" s="531">
        <f t="shared" si="2"/>
        <v>0</v>
      </c>
    </row>
    <row r="33" spans="1:30" s="14" customFormat="1" ht="31.2">
      <c r="A33" s="236">
        <f t="shared" ref="A33:A37" si="10">A32+1</f>
        <v>2</v>
      </c>
      <c r="B33" s="58" t="s">
        <v>93</v>
      </c>
      <c r="C33" s="249">
        <v>7907940</v>
      </c>
      <c r="D33" s="47" t="s">
        <v>532</v>
      </c>
      <c r="E33" s="237">
        <v>2800</v>
      </c>
      <c r="F33" s="320"/>
      <c r="G33" s="321">
        <v>300</v>
      </c>
      <c r="H33" s="67">
        <v>300</v>
      </c>
      <c r="I33" s="67">
        <v>300</v>
      </c>
      <c r="J33" s="79">
        <f t="shared" si="3"/>
        <v>100</v>
      </c>
      <c r="K33" s="65">
        <f t="shared" si="9"/>
        <v>300</v>
      </c>
      <c r="L33" s="523">
        <f t="shared" si="0"/>
        <v>100</v>
      </c>
      <c r="M33" s="381"/>
      <c r="N33" s="250"/>
      <c r="O33" s="245">
        <f t="shared" si="1"/>
        <v>0</v>
      </c>
      <c r="P33" s="66"/>
      <c r="Q33" s="531">
        <f t="shared" si="2"/>
        <v>0</v>
      </c>
    </row>
    <row r="34" spans="1:30" s="14" customFormat="1" ht="31.2">
      <c r="A34" s="236">
        <f t="shared" si="10"/>
        <v>3</v>
      </c>
      <c r="B34" s="57" t="s">
        <v>327</v>
      </c>
      <c r="C34" s="30">
        <v>7907941</v>
      </c>
      <c r="D34" s="47" t="s">
        <v>532</v>
      </c>
      <c r="E34" s="237">
        <v>6500</v>
      </c>
      <c r="F34" s="320">
        <v>800</v>
      </c>
      <c r="G34" s="322">
        <v>500.56299999999999</v>
      </c>
      <c r="H34" s="67">
        <v>500.56299999999999</v>
      </c>
      <c r="I34" s="67">
        <v>500.56299999999999</v>
      </c>
      <c r="J34" s="79">
        <f t="shared" si="3"/>
        <v>100</v>
      </c>
      <c r="K34" s="65">
        <f t="shared" si="9"/>
        <v>500.56299999999999</v>
      </c>
      <c r="L34" s="523">
        <f t="shared" si="0"/>
        <v>100</v>
      </c>
      <c r="M34" s="381"/>
      <c r="N34" s="234" t="s">
        <v>320</v>
      </c>
      <c r="O34" s="245">
        <f t="shared" si="1"/>
        <v>0</v>
      </c>
      <c r="P34" s="583" t="s">
        <v>579</v>
      </c>
      <c r="Q34" s="531">
        <f t="shared" si="2"/>
        <v>0</v>
      </c>
    </row>
    <row r="35" spans="1:30" s="14" customFormat="1" ht="31.2">
      <c r="A35" s="236">
        <f t="shared" si="10"/>
        <v>4</v>
      </c>
      <c r="B35" s="470" t="s">
        <v>94</v>
      </c>
      <c r="C35" s="471">
        <v>7906134</v>
      </c>
      <c r="D35" s="241" t="s">
        <v>532</v>
      </c>
      <c r="E35" s="472">
        <v>6800</v>
      </c>
      <c r="F35" s="473"/>
      <c r="G35" s="317">
        <v>1400</v>
      </c>
      <c r="H35" s="467">
        <v>500</v>
      </c>
      <c r="I35" s="243"/>
      <c r="J35" s="464">
        <f t="shared" si="3"/>
        <v>0</v>
      </c>
      <c r="K35" s="242">
        <f t="shared" si="9"/>
        <v>1400</v>
      </c>
      <c r="L35" s="523">
        <f t="shared" si="0"/>
        <v>100</v>
      </c>
      <c r="M35" s="468"/>
      <c r="N35" s="474"/>
      <c r="O35" s="245">
        <f t="shared" si="1"/>
        <v>1400</v>
      </c>
      <c r="P35" s="639" t="s">
        <v>638</v>
      </c>
      <c r="Q35" s="531">
        <f t="shared" si="2"/>
        <v>500</v>
      </c>
    </row>
    <row r="36" spans="1:30" s="14" customFormat="1" ht="32.4">
      <c r="A36" s="236">
        <f t="shared" si="10"/>
        <v>5</v>
      </c>
      <c r="B36" s="58" t="s">
        <v>303</v>
      </c>
      <c r="C36" s="30">
        <v>7910695</v>
      </c>
      <c r="D36" s="47" t="s">
        <v>532</v>
      </c>
      <c r="E36" s="237">
        <v>5500</v>
      </c>
      <c r="F36" s="320">
        <v>200</v>
      </c>
      <c r="G36" s="322">
        <f>1802.407+423.243</f>
        <v>2225.65</v>
      </c>
      <c r="H36" s="67">
        <v>1400</v>
      </c>
      <c r="I36" s="67">
        <v>1400</v>
      </c>
      <c r="J36" s="79">
        <f t="shared" si="3"/>
        <v>62.902972165434811</v>
      </c>
      <c r="K36" s="65">
        <f t="shared" si="9"/>
        <v>2225.65</v>
      </c>
      <c r="L36" s="523">
        <f t="shared" si="0"/>
        <v>100</v>
      </c>
      <c r="M36" s="381"/>
      <c r="N36" s="234" t="s">
        <v>533</v>
      </c>
      <c r="O36" s="245">
        <f t="shared" si="1"/>
        <v>825.65000000000009</v>
      </c>
      <c r="P36" s="583" t="s">
        <v>640</v>
      </c>
      <c r="Q36" s="531">
        <f t="shared" si="2"/>
        <v>0</v>
      </c>
    </row>
    <row r="37" spans="1:30" s="14" customFormat="1" ht="31.2">
      <c r="A37" s="236">
        <f t="shared" si="10"/>
        <v>6</v>
      </c>
      <c r="B37" s="171" t="s">
        <v>80</v>
      </c>
      <c r="C37" s="172">
        <v>7929844</v>
      </c>
      <c r="D37" s="47" t="s">
        <v>532</v>
      </c>
      <c r="E37" s="237">
        <v>7300</v>
      </c>
      <c r="F37" s="317">
        <v>474</v>
      </c>
      <c r="G37" s="322">
        <v>218.108</v>
      </c>
      <c r="H37" s="67">
        <f>I37</f>
        <v>218.108</v>
      </c>
      <c r="I37" s="67">
        <v>218.108</v>
      </c>
      <c r="J37" s="79">
        <f t="shared" si="3"/>
        <v>100</v>
      </c>
      <c r="K37" s="65">
        <f t="shared" si="9"/>
        <v>218.108</v>
      </c>
      <c r="L37" s="523">
        <f t="shared" si="0"/>
        <v>100</v>
      </c>
      <c r="M37" s="381"/>
      <c r="N37" s="234" t="s">
        <v>321</v>
      </c>
      <c r="O37" s="245">
        <f t="shared" si="1"/>
        <v>0</v>
      </c>
      <c r="P37" s="639" t="s">
        <v>638</v>
      </c>
      <c r="Q37" s="531">
        <f t="shared" si="2"/>
        <v>0</v>
      </c>
    </row>
    <row r="38" spans="1:30" s="14" customFormat="1" ht="31.2">
      <c r="A38" s="127">
        <v>7</v>
      </c>
      <c r="B38" s="57" t="s">
        <v>561</v>
      </c>
      <c r="C38" s="56">
        <v>7990613</v>
      </c>
      <c r="D38" s="47" t="s">
        <v>532</v>
      </c>
      <c r="E38" s="251">
        <v>6500</v>
      </c>
      <c r="F38" s="317"/>
      <c r="G38" s="322">
        <v>1534.6489999999999</v>
      </c>
      <c r="H38" s="67"/>
      <c r="I38" s="67"/>
      <c r="J38" s="79">
        <f t="shared" si="3"/>
        <v>0</v>
      </c>
      <c r="K38" s="65">
        <f t="shared" si="9"/>
        <v>1534.6489999999999</v>
      </c>
      <c r="L38" s="523">
        <f t="shared" si="0"/>
        <v>100</v>
      </c>
      <c r="M38" s="381"/>
      <c r="N38" s="234"/>
      <c r="O38" s="245"/>
      <c r="P38" s="639" t="s">
        <v>638</v>
      </c>
      <c r="Q38" s="531"/>
    </row>
    <row r="39" spans="1:30" s="14" customFormat="1" ht="62.4">
      <c r="A39" s="236">
        <v>8</v>
      </c>
      <c r="B39" s="7" t="s">
        <v>75</v>
      </c>
      <c r="C39" s="466">
        <v>7949793</v>
      </c>
      <c r="D39" s="241" t="s">
        <v>532</v>
      </c>
      <c r="E39" s="467">
        <v>8800</v>
      </c>
      <c r="F39" s="317">
        <v>870</v>
      </c>
      <c r="G39" s="317">
        <f>2200+1274+449.427-1450</f>
        <v>2473.4270000000001</v>
      </c>
      <c r="H39" s="242">
        <v>658.81100000000004</v>
      </c>
      <c r="I39" s="242">
        <f>H39</f>
        <v>658.81100000000004</v>
      </c>
      <c r="J39" s="465">
        <f t="shared" si="3"/>
        <v>26.635554637351333</v>
      </c>
      <c r="K39" s="242">
        <f t="shared" si="9"/>
        <v>2473.4270000000001</v>
      </c>
      <c r="L39" s="523">
        <f t="shared" si="0"/>
        <v>100</v>
      </c>
      <c r="M39" s="468"/>
      <c r="N39" s="234" t="s">
        <v>322</v>
      </c>
      <c r="O39" s="469">
        <f t="shared" si="1"/>
        <v>1814.616</v>
      </c>
      <c r="P39" s="583" t="s">
        <v>639</v>
      </c>
      <c r="Q39" s="531">
        <f t="shared" si="2"/>
        <v>0</v>
      </c>
    </row>
    <row r="40" spans="1:30" s="44" customFormat="1" ht="16.2">
      <c r="A40" s="162" t="s">
        <v>64</v>
      </c>
      <c r="B40" s="146" t="s">
        <v>12</v>
      </c>
      <c r="C40" s="157"/>
      <c r="D40" s="150"/>
      <c r="E40" s="40">
        <f>SUM(E41:E41)</f>
        <v>1100</v>
      </c>
      <c r="F40" s="318">
        <f>SUM(F41:F41)</f>
        <v>0</v>
      </c>
      <c r="G40" s="319">
        <f>SUM(G41:G41)</f>
        <v>618.33500000000004</v>
      </c>
      <c r="H40" s="40">
        <f>SUM(H41:H41)</f>
        <v>612.28</v>
      </c>
      <c r="I40" s="40">
        <f>SUM(I41:I41)</f>
        <v>612.28</v>
      </c>
      <c r="J40" s="152">
        <f t="shared" si="3"/>
        <v>99.020757356449167</v>
      </c>
      <c r="K40" s="40">
        <f t="shared" ref="K40" si="11">SUM(K41:K41)</f>
        <v>618.33500000000004</v>
      </c>
      <c r="L40" s="523">
        <f t="shared" si="0"/>
        <v>100</v>
      </c>
      <c r="M40" s="148"/>
      <c r="N40" s="154"/>
      <c r="O40" s="479">
        <f t="shared" si="1"/>
        <v>6.0550000000000637</v>
      </c>
      <c r="P40" s="480"/>
      <c r="Q40" s="531">
        <f t="shared" si="2"/>
        <v>0</v>
      </c>
    </row>
    <row r="41" spans="1:30" s="17" customFormat="1" ht="31.2">
      <c r="A41" s="233" t="s">
        <v>53</v>
      </c>
      <c r="B41" s="235" t="s">
        <v>301</v>
      </c>
      <c r="C41" s="172">
        <v>8000339</v>
      </c>
      <c r="D41" s="47" t="s">
        <v>532</v>
      </c>
      <c r="E41" s="74">
        <v>1100</v>
      </c>
      <c r="F41" s="322"/>
      <c r="G41" s="323">
        <v>618.33500000000004</v>
      </c>
      <c r="H41" s="329">
        <f>I41</f>
        <v>612.28</v>
      </c>
      <c r="I41" s="48">
        <v>612.28</v>
      </c>
      <c r="J41" s="79">
        <f t="shared" si="3"/>
        <v>99.020757356449167</v>
      </c>
      <c r="K41" s="65">
        <f>G41</f>
        <v>618.33500000000004</v>
      </c>
      <c r="L41" s="523">
        <f t="shared" ref="L41:L73" si="12">K41/G41*100</f>
        <v>100</v>
      </c>
      <c r="M41" s="381"/>
      <c r="N41" s="116"/>
      <c r="O41" s="245">
        <f t="shared" si="1"/>
        <v>6.0550000000000637</v>
      </c>
      <c r="P41" s="583" t="s">
        <v>579</v>
      </c>
      <c r="Q41" s="531">
        <f t="shared" ref="Q41:Q75" si="13">H41-I41</f>
        <v>0</v>
      </c>
    </row>
    <row r="42" spans="1:30" s="63" customFormat="1" ht="22.2" customHeight="1">
      <c r="A42" s="144" t="s">
        <v>14</v>
      </c>
      <c r="B42" s="118" t="s">
        <v>625</v>
      </c>
      <c r="C42" s="119"/>
      <c r="D42" s="72"/>
      <c r="E42" s="62">
        <f>E43+E47</f>
        <v>39500</v>
      </c>
      <c r="F42" s="316">
        <f>F43+F47</f>
        <v>8528.5339999999997</v>
      </c>
      <c r="G42" s="316">
        <f>G43+G47</f>
        <v>6950</v>
      </c>
      <c r="H42" s="62">
        <f>H43+H47</f>
        <v>2634.3780000000002</v>
      </c>
      <c r="I42" s="62">
        <f>I43+I47</f>
        <v>2634.3780000000002</v>
      </c>
      <c r="J42" s="126">
        <f t="shared" si="3"/>
        <v>37.904719424460431</v>
      </c>
      <c r="K42" s="62">
        <f>K43+K47</f>
        <v>2635</v>
      </c>
      <c r="L42" s="522">
        <f t="shared" si="12"/>
        <v>37.913669064748198</v>
      </c>
      <c r="M42" s="109"/>
      <c r="N42" s="109"/>
      <c r="O42" s="245">
        <f t="shared" si="1"/>
        <v>4315.6219999999994</v>
      </c>
      <c r="P42" s="640" t="s">
        <v>316</v>
      </c>
      <c r="Q42" s="531">
        <f t="shared" si="13"/>
        <v>0</v>
      </c>
      <c r="X42" s="63">
        <f>6800-2485-150-2000</f>
        <v>2165</v>
      </c>
    </row>
    <row r="43" spans="1:30" s="6" customFormat="1" ht="16.2">
      <c r="A43" s="144" t="s">
        <v>39</v>
      </c>
      <c r="B43" s="232" t="s">
        <v>337</v>
      </c>
      <c r="C43" s="157"/>
      <c r="D43" s="72"/>
      <c r="E43" s="40">
        <f>SUM(E44:E46)</f>
        <v>39000</v>
      </c>
      <c r="F43" s="318">
        <f t="shared" ref="F43:K43" si="14">SUM(F44:F46)</f>
        <v>8528.5339999999997</v>
      </c>
      <c r="G43" s="318">
        <f t="shared" si="14"/>
        <v>6800</v>
      </c>
      <c r="H43" s="40">
        <f t="shared" si="14"/>
        <v>2484.857</v>
      </c>
      <c r="I43" s="40">
        <f t="shared" si="14"/>
        <v>2484.857</v>
      </c>
      <c r="J43" s="152">
        <f t="shared" si="3"/>
        <v>36.542014705882352</v>
      </c>
      <c r="K43" s="40">
        <f t="shared" si="14"/>
        <v>2485</v>
      </c>
      <c r="L43" s="533">
        <f t="shared" si="12"/>
        <v>36.544117647058819</v>
      </c>
      <c r="M43" s="109"/>
      <c r="N43" s="109"/>
      <c r="O43" s="245">
        <f t="shared" si="1"/>
        <v>4315.143</v>
      </c>
      <c r="P43" s="42" t="s">
        <v>678</v>
      </c>
      <c r="Q43" s="531">
        <f t="shared" si="13"/>
        <v>0</v>
      </c>
    </row>
    <row r="44" spans="1:30" s="76" customFormat="1" ht="46.8">
      <c r="A44" s="233" t="s">
        <v>53</v>
      </c>
      <c r="B44" s="9" t="s">
        <v>70</v>
      </c>
      <c r="C44" s="56">
        <v>7927383</v>
      </c>
      <c r="D44" s="47" t="s">
        <v>532</v>
      </c>
      <c r="E44" s="67">
        <v>15000</v>
      </c>
      <c r="F44" s="322">
        <v>5500</v>
      </c>
      <c r="G44" s="321">
        <v>2800</v>
      </c>
      <c r="H44" s="228">
        <f>I44</f>
        <v>2484.857</v>
      </c>
      <c r="I44" s="48">
        <v>2484.857</v>
      </c>
      <c r="J44" s="65">
        <f t="shared" si="3"/>
        <v>88.744892857142858</v>
      </c>
      <c r="K44" s="65">
        <v>2485</v>
      </c>
      <c r="L44" s="523">
        <f t="shared" si="12"/>
        <v>88.75</v>
      </c>
      <c r="M44" s="377"/>
      <c r="N44" s="113"/>
      <c r="O44" s="245">
        <f t="shared" si="1"/>
        <v>315.14300000000003</v>
      </c>
      <c r="P44" s="789" t="s">
        <v>680</v>
      </c>
      <c r="Q44" s="531">
        <f t="shared" si="13"/>
        <v>0</v>
      </c>
      <c r="AC44" s="796">
        <f>15000-6800-5500</f>
        <v>2700</v>
      </c>
      <c r="AD44" s="796"/>
    </row>
    <row r="45" spans="1:30" s="22" customFormat="1" ht="46.8">
      <c r="A45" s="218">
        <v>2</v>
      </c>
      <c r="B45" s="80" t="s">
        <v>83</v>
      </c>
      <c r="C45" s="56">
        <v>7950713</v>
      </c>
      <c r="D45" s="47" t="s">
        <v>532</v>
      </c>
      <c r="E45" s="67">
        <v>15000</v>
      </c>
      <c r="F45" s="322">
        <v>2028.5340000000001</v>
      </c>
      <c r="G45" s="321">
        <v>2000</v>
      </c>
      <c r="H45" s="246"/>
      <c r="I45" s="246"/>
      <c r="J45" s="65">
        <f t="shared" si="3"/>
        <v>0</v>
      </c>
      <c r="K45" s="65"/>
      <c r="L45" s="523"/>
      <c r="M45" s="377"/>
      <c r="N45" s="243"/>
      <c r="O45" s="245">
        <f t="shared" si="1"/>
        <v>2000</v>
      </c>
      <c r="P45" s="789" t="s">
        <v>680</v>
      </c>
      <c r="Q45" s="531">
        <f t="shared" si="13"/>
        <v>0</v>
      </c>
    </row>
    <row r="46" spans="1:30" s="76" customFormat="1" ht="68.400000000000006" customHeight="1">
      <c r="A46" s="218">
        <v>3</v>
      </c>
      <c r="B46" s="80" t="s">
        <v>84</v>
      </c>
      <c r="C46" s="172">
        <v>7949786</v>
      </c>
      <c r="D46" s="47" t="s">
        <v>532</v>
      </c>
      <c r="E46" s="67">
        <v>9000</v>
      </c>
      <c r="F46" s="322">
        <v>1000</v>
      </c>
      <c r="G46" s="321">
        <v>2000</v>
      </c>
      <c r="H46" s="228"/>
      <c r="I46" s="247"/>
      <c r="J46" s="65">
        <f t="shared" si="3"/>
        <v>0</v>
      </c>
      <c r="K46" s="65"/>
      <c r="L46" s="523"/>
      <c r="M46" s="377"/>
      <c r="N46" s="113"/>
      <c r="O46" s="245">
        <f t="shared" si="1"/>
        <v>2000</v>
      </c>
      <c r="P46" s="789" t="s">
        <v>681</v>
      </c>
      <c r="Q46" s="531">
        <f t="shared" si="13"/>
        <v>0</v>
      </c>
    </row>
    <row r="47" spans="1:30" s="51" customFormat="1" ht="16.2">
      <c r="A47" s="162" t="s">
        <v>40</v>
      </c>
      <c r="B47" s="231" t="s">
        <v>12</v>
      </c>
      <c r="C47" s="147"/>
      <c r="D47" s="72"/>
      <c r="E47" s="40">
        <f>SUM(E48:E48)</f>
        <v>500</v>
      </c>
      <c r="F47" s="318">
        <f>SUM(F48:F48)</f>
        <v>0</v>
      </c>
      <c r="G47" s="318">
        <f>SUM(G48:G48)</f>
        <v>150</v>
      </c>
      <c r="H47" s="40">
        <f>SUM(H48:H48)</f>
        <v>149.52099999999999</v>
      </c>
      <c r="I47" s="40">
        <f>SUM(I48:I48)</f>
        <v>149.52099999999999</v>
      </c>
      <c r="J47" s="784">
        <f t="shared" si="3"/>
        <v>99.680666666666667</v>
      </c>
      <c r="K47" s="40">
        <f t="shared" ref="K47" si="15">SUM(K48:K48)</f>
        <v>150</v>
      </c>
      <c r="L47" s="533">
        <f t="shared" si="12"/>
        <v>100</v>
      </c>
      <c r="M47" s="154"/>
      <c r="N47" s="154"/>
      <c r="O47" s="245">
        <f t="shared" si="1"/>
        <v>0.47900000000001342</v>
      </c>
      <c r="P47" s="81"/>
      <c r="Q47" s="531">
        <f t="shared" si="13"/>
        <v>0</v>
      </c>
    </row>
    <row r="48" spans="1:30" s="14" customFormat="1" ht="31.2">
      <c r="A48" s="155">
        <v>1</v>
      </c>
      <c r="B48" s="9" t="s">
        <v>630</v>
      </c>
      <c r="C48" s="56">
        <v>8049963</v>
      </c>
      <c r="D48" s="47" t="s">
        <v>532</v>
      </c>
      <c r="E48" s="67">
        <v>500</v>
      </c>
      <c r="F48" s="318"/>
      <c r="G48" s="321">
        <v>150</v>
      </c>
      <c r="H48" s="113">
        <v>149.52099999999999</v>
      </c>
      <c r="I48" s="113">
        <v>149.52099999999999</v>
      </c>
      <c r="J48" s="65">
        <f t="shared" si="3"/>
        <v>99.680666666666667</v>
      </c>
      <c r="K48" s="65">
        <v>150</v>
      </c>
      <c r="L48" s="523">
        <f t="shared" si="12"/>
        <v>100</v>
      </c>
      <c r="M48" s="56"/>
      <c r="N48" s="116"/>
      <c r="O48" s="245"/>
      <c r="P48" s="66"/>
      <c r="Q48" s="531">
        <f t="shared" si="13"/>
        <v>0</v>
      </c>
      <c r="V48" s="238"/>
    </row>
    <row r="49" spans="1:24" s="6" customFormat="1" ht="25.2" customHeight="1">
      <c r="A49" s="144" t="s">
        <v>15</v>
      </c>
      <c r="B49" s="118" t="s">
        <v>410</v>
      </c>
      <c r="C49" s="119"/>
      <c r="D49" s="72"/>
      <c r="E49" s="114">
        <f>SUM(E50:E57)</f>
        <v>32100</v>
      </c>
      <c r="F49" s="324">
        <f>SUM(F50:F57)</f>
        <v>840</v>
      </c>
      <c r="G49" s="324">
        <f>SUM(G50:G57)</f>
        <v>9000</v>
      </c>
      <c r="H49" s="114">
        <f>SUM(H50:H57)</f>
        <v>6781.3310000000001</v>
      </c>
      <c r="I49" s="114">
        <f>SUM(I50:I57)</f>
        <v>6781.3310000000001</v>
      </c>
      <c r="J49" s="126">
        <f t="shared" si="3"/>
        <v>75.34812222222223</v>
      </c>
      <c r="K49" s="114">
        <f>SUM(K50:K57)</f>
        <v>9000</v>
      </c>
      <c r="L49" s="522">
        <f t="shared" si="12"/>
        <v>100</v>
      </c>
      <c r="M49" s="109"/>
      <c r="N49" s="168"/>
      <c r="O49" s="245">
        <f>G49-I49</f>
        <v>2218.6689999999999</v>
      </c>
      <c r="P49" s="639" t="s">
        <v>317</v>
      </c>
      <c r="Q49" s="531">
        <f t="shared" si="13"/>
        <v>0</v>
      </c>
    </row>
    <row r="50" spans="1:24" s="87" customFormat="1" ht="34.799999999999997" customHeight="1">
      <c r="A50" s="115">
        <v>1</v>
      </c>
      <c r="B50" s="25" t="s">
        <v>319</v>
      </c>
      <c r="C50" s="26">
        <v>8035094</v>
      </c>
      <c r="D50" s="47" t="s">
        <v>532</v>
      </c>
      <c r="E50" s="27">
        <v>4000</v>
      </c>
      <c r="F50" s="325"/>
      <c r="G50" s="326">
        <v>1317</v>
      </c>
      <c r="H50" s="48">
        <f>I50</f>
        <v>1126.827</v>
      </c>
      <c r="I50" s="48">
        <v>1126.827</v>
      </c>
      <c r="J50" s="79">
        <f t="shared" si="3"/>
        <v>85.560136674259681</v>
      </c>
      <c r="K50" s="65">
        <f>G50</f>
        <v>1317</v>
      </c>
      <c r="L50" s="523">
        <f t="shared" si="12"/>
        <v>100</v>
      </c>
      <c r="M50" s="381"/>
      <c r="N50" s="116" t="s">
        <v>74</v>
      </c>
      <c r="O50" s="245">
        <f>G50-I50</f>
        <v>190.173</v>
      </c>
      <c r="P50" s="697" t="s">
        <v>643</v>
      </c>
      <c r="Q50" s="531">
        <f t="shared" si="13"/>
        <v>0</v>
      </c>
    </row>
    <row r="51" spans="1:24" s="87" customFormat="1" ht="33.6" customHeight="1">
      <c r="A51" s="115">
        <v>2</v>
      </c>
      <c r="B51" s="25" t="s">
        <v>548</v>
      </c>
      <c r="C51" s="26">
        <v>8022235</v>
      </c>
      <c r="D51" s="47" t="s">
        <v>532</v>
      </c>
      <c r="E51" s="27">
        <v>1500</v>
      </c>
      <c r="F51" s="325"/>
      <c r="G51" s="326">
        <v>1415.383</v>
      </c>
      <c r="H51" s="48">
        <f t="shared" ref="H51:H57" si="16">I51</f>
        <v>973.24</v>
      </c>
      <c r="I51" s="48">
        <v>973.24</v>
      </c>
      <c r="J51" s="79">
        <f t="shared" si="3"/>
        <v>68.761600217043721</v>
      </c>
      <c r="K51" s="65">
        <f>G51</f>
        <v>1415.383</v>
      </c>
      <c r="L51" s="523">
        <f t="shared" si="12"/>
        <v>100</v>
      </c>
      <c r="M51" s="381"/>
      <c r="N51" s="116" t="s">
        <v>74</v>
      </c>
      <c r="O51" s="245">
        <f>G51-I51</f>
        <v>442.14300000000003</v>
      </c>
      <c r="P51" s="697" t="s">
        <v>643</v>
      </c>
      <c r="Q51" s="531">
        <f t="shared" si="13"/>
        <v>0</v>
      </c>
      <c r="X51" s="619">
        <f>X52+X57</f>
        <v>3320.654</v>
      </c>
    </row>
    <row r="52" spans="1:24" s="87" customFormat="1" ht="33.6" customHeight="1">
      <c r="A52" s="115">
        <v>3</v>
      </c>
      <c r="B52" s="265" t="s">
        <v>393</v>
      </c>
      <c r="C52" s="26">
        <v>8022247</v>
      </c>
      <c r="D52" s="47" t="s">
        <v>532</v>
      </c>
      <c r="E52" s="27">
        <v>4500</v>
      </c>
      <c r="F52" s="325"/>
      <c r="G52" s="326">
        <v>2973.4349999999999</v>
      </c>
      <c r="H52" s="48">
        <f t="shared" si="16"/>
        <v>2000</v>
      </c>
      <c r="I52" s="48">
        <v>2000</v>
      </c>
      <c r="J52" s="79">
        <f t="shared" si="3"/>
        <v>67.262274103856313</v>
      </c>
      <c r="K52" s="65">
        <f>G52</f>
        <v>2973.4349999999999</v>
      </c>
      <c r="L52" s="523">
        <f t="shared" si="12"/>
        <v>100</v>
      </c>
      <c r="M52" s="381"/>
      <c r="N52" s="116" t="s">
        <v>74</v>
      </c>
      <c r="O52" s="245"/>
      <c r="P52" s="639" t="s">
        <v>531</v>
      </c>
      <c r="Q52" s="531">
        <f t="shared" si="13"/>
        <v>0</v>
      </c>
      <c r="X52" s="618">
        <f>I39</f>
        <v>658.81100000000004</v>
      </c>
    </row>
    <row r="53" spans="1:24" s="87" customFormat="1" ht="33.6" customHeight="1">
      <c r="A53" s="115">
        <v>4</v>
      </c>
      <c r="B53" s="736" t="s">
        <v>76</v>
      </c>
      <c r="C53" s="738"/>
      <c r="D53" s="737" t="s">
        <v>644</v>
      </c>
      <c r="E53" s="739">
        <v>1500</v>
      </c>
      <c r="F53" s="325"/>
      <c r="G53" s="740">
        <v>8.3079999999999998</v>
      </c>
      <c r="H53" s="740">
        <v>8.3079999999999998</v>
      </c>
      <c r="I53" s="740">
        <v>8.3079999999999998</v>
      </c>
      <c r="J53" s="79">
        <f t="shared" si="3"/>
        <v>100</v>
      </c>
      <c r="K53" s="792">
        <v>8.3079999999999998</v>
      </c>
      <c r="L53" s="523">
        <f t="shared" si="12"/>
        <v>100</v>
      </c>
      <c r="M53" s="381"/>
      <c r="N53" s="116"/>
      <c r="O53" s="245"/>
      <c r="P53" s="697" t="s">
        <v>643</v>
      </c>
      <c r="Q53" s="531"/>
      <c r="X53" s="618"/>
    </row>
    <row r="54" spans="1:24" s="87" customFormat="1" ht="33.6" customHeight="1">
      <c r="A54" s="115">
        <v>5</v>
      </c>
      <c r="B54" s="736" t="s">
        <v>645</v>
      </c>
      <c r="C54" s="738"/>
      <c r="D54" s="737" t="s">
        <v>644</v>
      </c>
      <c r="E54" s="739">
        <v>2000</v>
      </c>
      <c r="F54" s="325"/>
      <c r="G54" s="740">
        <v>11.113</v>
      </c>
      <c r="H54" s="740">
        <v>11.113</v>
      </c>
      <c r="I54" s="740">
        <v>11.113</v>
      </c>
      <c r="J54" s="79">
        <f t="shared" si="3"/>
        <v>100</v>
      </c>
      <c r="K54" s="792">
        <v>11.113</v>
      </c>
      <c r="L54" s="523">
        <f t="shared" si="12"/>
        <v>100</v>
      </c>
      <c r="M54" s="381"/>
      <c r="N54" s="116"/>
      <c r="O54" s="245"/>
      <c r="P54" s="697" t="s">
        <v>643</v>
      </c>
      <c r="Q54" s="531"/>
      <c r="X54" s="618"/>
    </row>
    <row r="55" spans="1:24" s="87" customFormat="1" ht="33.6" customHeight="1">
      <c r="A55" s="115">
        <v>6</v>
      </c>
      <c r="B55" s="741" t="s">
        <v>324</v>
      </c>
      <c r="C55" s="26"/>
      <c r="D55" s="737" t="s">
        <v>644</v>
      </c>
      <c r="E55" s="742">
        <v>3300</v>
      </c>
      <c r="F55" s="325"/>
      <c r="G55" s="740">
        <v>151.16900000000001</v>
      </c>
      <c r="H55" s="48"/>
      <c r="I55" s="48"/>
      <c r="J55" s="79">
        <f t="shared" si="3"/>
        <v>0</v>
      </c>
      <c r="K55" s="792">
        <v>151.16900000000001</v>
      </c>
      <c r="L55" s="523">
        <f t="shared" si="12"/>
        <v>100</v>
      </c>
      <c r="M55" s="381"/>
      <c r="N55" s="116"/>
      <c r="O55" s="245"/>
      <c r="P55" s="697" t="s">
        <v>643</v>
      </c>
      <c r="Q55" s="531"/>
      <c r="X55" s="618"/>
    </row>
    <row r="56" spans="1:24" s="87" customFormat="1" ht="33.6" customHeight="1">
      <c r="A56" s="115">
        <v>7</v>
      </c>
      <c r="B56" s="741" t="s">
        <v>561</v>
      </c>
      <c r="C56" s="26"/>
      <c r="D56" s="737" t="s">
        <v>644</v>
      </c>
      <c r="E56" s="742">
        <v>6500</v>
      </c>
      <c r="F56" s="325"/>
      <c r="G56" s="740">
        <v>123.592</v>
      </c>
      <c r="H56" s="48"/>
      <c r="I56" s="48"/>
      <c r="J56" s="79">
        <f t="shared" si="3"/>
        <v>0</v>
      </c>
      <c r="K56" s="792">
        <v>123.592</v>
      </c>
      <c r="L56" s="523">
        <f t="shared" si="12"/>
        <v>100</v>
      </c>
      <c r="M56" s="381"/>
      <c r="N56" s="116"/>
      <c r="O56" s="245"/>
      <c r="P56" s="697" t="s">
        <v>643</v>
      </c>
      <c r="Q56" s="531"/>
      <c r="X56" s="618"/>
    </row>
    <row r="57" spans="1:24" s="90" customFormat="1" ht="68.400000000000006" customHeight="1">
      <c r="A57" s="115">
        <v>8</v>
      </c>
      <c r="B57" s="57" t="s">
        <v>75</v>
      </c>
      <c r="C57" s="172">
        <v>7949793</v>
      </c>
      <c r="D57" s="47" t="s">
        <v>532</v>
      </c>
      <c r="E57" s="27">
        <v>8800</v>
      </c>
      <c r="F57" s="326">
        <v>840</v>
      </c>
      <c r="G57" s="326">
        <v>3000</v>
      </c>
      <c r="H57" s="48">
        <f t="shared" si="16"/>
        <v>2661.8429999999998</v>
      </c>
      <c r="I57" s="48">
        <v>2661.8429999999998</v>
      </c>
      <c r="J57" s="79">
        <f t="shared" si="3"/>
        <v>88.728099999999998</v>
      </c>
      <c r="K57" s="65">
        <f>G57</f>
        <v>3000</v>
      </c>
      <c r="L57" s="523">
        <f t="shared" si="12"/>
        <v>100</v>
      </c>
      <c r="M57" s="381"/>
      <c r="N57" s="116" t="s">
        <v>74</v>
      </c>
      <c r="O57" s="245">
        <f>G57-I57</f>
        <v>338.15700000000015</v>
      </c>
      <c r="P57" s="42"/>
      <c r="Q57" s="531">
        <f t="shared" si="13"/>
        <v>0</v>
      </c>
      <c r="X57" s="90">
        <v>2661.8429999999998</v>
      </c>
    </row>
    <row r="58" spans="1:24" s="94" customFormat="1" hidden="1">
      <c r="A58" s="117" t="s">
        <v>18</v>
      </c>
      <c r="B58" s="118" t="s">
        <v>41</v>
      </c>
      <c r="C58" s="119"/>
      <c r="D58" s="72"/>
      <c r="E58" s="62">
        <f>SUM(E59:E60)</f>
        <v>0</v>
      </c>
      <c r="F58" s="316">
        <f>SUM(F59:F60)</f>
        <v>0</v>
      </c>
      <c r="G58" s="316">
        <f>SUM(G59:G60)</f>
        <v>0</v>
      </c>
      <c r="H58" s="62">
        <f>SUM(H59:H60)</f>
        <v>0</v>
      </c>
      <c r="I58" s="62">
        <f>SUM(I59:I60)</f>
        <v>0</v>
      </c>
      <c r="J58" s="112" t="e">
        <f t="shared" si="3"/>
        <v>#DIV/0!</v>
      </c>
      <c r="K58" s="112"/>
      <c r="L58" s="523" t="e">
        <f t="shared" si="12"/>
        <v>#DIV/0!</v>
      </c>
      <c r="M58" s="109"/>
      <c r="N58" s="109"/>
      <c r="O58" s="245">
        <f>G58-I58</f>
        <v>0</v>
      </c>
      <c r="P58" s="42"/>
      <c r="Q58" s="531">
        <f t="shared" si="13"/>
        <v>0</v>
      </c>
    </row>
    <row r="59" spans="1:24" s="14" customFormat="1" hidden="1">
      <c r="A59" s="115"/>
      <c r="B59" s="58"/>
      <c r="C59" s="59"/>
      <c r="D59" s="72"/>
      <c r="E59" s="48"/>
      <c r="F59" s="323"/>
      <c r="G59" s="322"/>
      <c r="H59" s="48"/>
      <c r="I59" s="48"/>
      <c r="J59" s="112" t="e">
        <f t="shared" si="3"/>
        <v>#DIV/0!</v>
      </c>
      <c r="K59" s="65"/>
      <c r="L59" s="523" t="e">
        <f t="shared" si="12"/>
        <v>#DIV/0!</v>
      </c>
      <c r="M59" s="170"/>
      <c r="N59" s="170"/>
      <c r="O59" s="245"/>
      <c r="P59" s="42"/>
      <c r="Q59" s="531">
        <f t="shared" si="13"/>
        <v>0</v>
      </c>
    </row>
    <row r="60" spans="1:24" s="92" customFormat="1" hidden="1">
      <c r="A60" s="115"/>
      <c r="B60" s="57"/>
      <c r="C60" s="72"/>
      <c r="D60" s="72"/>
      <c r="E60" s="48"/>
      <c r="F60" s="323"/>
      <c r="G60" s="322"/>
      <c r="H60" s="48"/>
      <c r="I60" s="48"/>
      <c r="J60" s="112" t="e">
        <f t="shared" si="3"/>
        <v>#DIV/0!</v>
      </c>
      <c r="K60" s="65"/>
      <c r="L60" s="523" t="e">
        <f t="shared" si="12"/>
        <v>#DIV/0!</v>
      </c>
      <c r="M60" s="116"/>
      <c r="N60" s="116"/>
      <c r="O60" s="245">
        <f t="shared" ref="O60:O78" si="17">G60-I60</f>
        <v>0</v>
      </c>
      <c r="P60" s="42"/>
      <c r="Q60" s="531">
        <f t="shared" si="13"/>
        <v>0</v>
      </c>
    </row>
    <row r="61" spans="1:24" s="16" customFormat="1" hidden="1">
      <c r="A61" s="117" t="s">
        <v>52</v>
      </c>
      <c r="B61" s="118" t="s">
        <v>55</v>
      </c>
      <c r="C61" s="119"/>
      <c r="D61" s="72"/>
      <c r="E61" s="62">
        <f>SUM(E62:E63)</f>
        <v>0</v>
      </c>
      <c r="F61" s="316">
        <f>SUM(F62:F63)</f>
        <v>0</v>
      </c>
      <c r="G61" s="316">
        <f>SUM(G62:G63)</f>
        <v>0</v>
      </c>
      <c r="H61" s="62">
        <f>SUM(H62:H63)</f>
        <v>0</v>
      </c>
      <c r="I61" s="62">
        <f>SUM(I62:I63)</f>
        <v>0</v>
      </c>
      <c r="J61" s="112" t="e">
        <f t="shared" si="3"/>
        <v>#DIV/0!</v>
      </c>
      <c r="K61" s="112"/>
      <c r="L61" s="523" t="e">
        <f t="shared" si="12"/>
        <v>#DIV/0!</v>
      </c>
      <c r="M61" s="109"/>
      <c r="N61" s="109"/>
      <c r="O61" s="245">
        <f t="shared" si="17"/>
        <v>0</v>
      </c>
      <c r="P61" s="42"/>
      <c r="Q61" s="531">
        <f t="shared" si="13"/>
        <v>0</v>
      </c>
    </row>
    <row r="62" spans="1:24" s="10" customFormat="1" hidden="1">
      <c r="A62" s="120"/>
      <c r="B62" s="58"/>
      <c r="C62" s="30"/>
      <c r="D62" s="30"/>
      <c r="E62" s="29"/>
      <c r="F62" s="327"/>
      <c r="G62" s="327"/>
      <c r="H62" s="330"/>
      <c r="I62" s="331"/>
      <c r="J62" s="112" t="e">
        <f t="shared" si="3"/>
        <v>#DIV/0!</v>
      </c>
      <c r="K62" s="65"/>
      <c r="L62" s="523" t="e">
        <f t="shared" si="12"/>
        <v>#DIV/0!</v>
      </c>
      <c r="M62" s="116"/>
      <c r="N62" s="123"/>
      <c r="O62" s="245">
        <f t="shared" si="17"/>
        <v>0</v>
      </c>
      <c r="P62" s="42"/>
      <c r="Q62" s="531">
        <f t="shared" si="13"/>
        <v>0</v>
      </c>
    </row>
    <row r="63" spans="1:24" s="10" customFormat="1" hidden="1">
      <c r="A63" s="120"/>
      <c r="B63" s="58"/>
      <c r="C63" s="30"/>
      <c r="D63" s="30"/>
      <c r="E63" s="29"/>
      <c r="F63" s="327"/>
      <c r="G63" s="327"/>
      <c r="H63" s="330"/>
      <c r="I63" s="331"/>
      <c r="J63" s="112" t="e">
        <f t="shared" si="3"/>
        <v>#DIV/0!</v>
      </c>
      <c r="K63" s="65"/>
      <c r="L63" s="523" t="e">
        <f t="shared" si="12"/>
        <v>#DIV/0!</v>
      </c>
      <c r="M63" s="116"/>
      <c r="N63" s="124"/>
      <c r="O63" s="245">
        <f t="shared" si="17"/>
        <v>0</v>
      </c>
      <c r="P63" s="42"/>
      <c r="Q63" s="531">
        <f t="shared" si="13"/>
        <v>0</v>
      </c>
    </row>
    <row r="64" spans="1:24" s="16" customFormat="1" ht="24.6" customHeight="1">
      <c r="A64" s="117" t="s">
        <v>23</v>
      </c>
      <c r="B64" s="125" t="s">
        <v>19</v>
      </c>
      <c r="C64" s="130"/>
      <c r="D64" s="56"/>
      <c r="E64" s="62">
        <f>SUM(E65:E74)</f>
        <v>87900</v>
      </c>
      <c r="F64" s="316">
        <f>SUM(F65:F74)</f>
        <v>19000</v>
      </c>
      <c r="G64" s="316">
        <f>SUM(G65:G74)</f>
        <v>20000</v>
      </c>
      <c r="H64" s="62">
        <f>SUM(H65:H74)</f>
        <v>12710.078</v>
      </c>
      <c r="I64" s="62">
        <f>SUM(I65:I74)</f>
        <v>12710.078</v>
      </c>
      <c r="J64" s="126">
        <f t="shared" si="3"/>
        <v>63.55039</v>
      </c>
      <c r="K64" s="62">
        <f>SUM(K65:K74)</f>
        <v>16000</v>
      </c>
      <c r="L64" s="522">
        <f t="shared" si="12"/>
        <v>80</v>
      </c>
      <c r="M64" s="109"/>
      <c r="N64" s="109"/>
      <c r="O64" s="245">
        <f t="shared" si="17"/>
        <v>7289.9220000000005</v>
      </c>
      <c r="P64" s="640" t="s">
        <v>323</v>
      </c>
      <c r="Q64" s="531">
        <f t="shared" si="13"/>
        <v>0</v>
      </c>
    </row>
    <row r="65" spans="1:17" s="8" customFormat="1" ht="31.2">
      <c r="A65" s="127">
        <v>1</v>
      </c>
      <c r="B65" s="57" t="s">
        <v>325</v>
      </c>
      <c r="C65" s="239">
        <v>7883449</v>
      </c>
      <c r="D65" s="47" t="s">
        <v>532</v>
      </c>
      <c r="E65" s="251">
        <v>5500</v>
      </c>
      <c r="F65" s="326">
        <v>3200</v>
      </c>
      <c r="G65" s="326">
        <v>1800</v>
      </c>
      <c r="H65" s="65">
        <f t="shared" ref="H65:H67" si="18">I65</f>
        <v>1800</v>
      </c>
      <c r="I65" s="65">
        <v>1800</v>
      </c>
      <c r="J65" s="79">
        <f t="shared" si="3"/>
        <v>100</v>
      </c>
      <c r="K65" s="65">
        <f t="shared" ref="K65:K74" si="19">G65</f>
        <v>1800</v>
      </c>
      <c r="L65" s="523">
        <f t="shared" si="12"/>
        <v>100</v>
      </c>
      <c r="M65" s="381"/>
      <c r="N65" s="116"/>
      <c r="O65" s="245">
        <f t="shared" si="17"/>
        <v>0</v>
      </c>
      <c r="P65" s="42"/>
      <c r="Q65" s="531">
        <f t="shared" si="13"/>
        <v>0</v>
      </c>
    </row>
    <row r="66" spans="1:17" s="87" customFormat="1" ht="31.2">
      <c r="A66" s="127">
        <v>2</v>
      </c>
      <c r="B66" s="57" t="s">
        <v>326</v>
      </c>
      <c r="C66" s="239">
        <v>7907940</v>
      </c>
      <c r="D66" s="47" t="s">
        <v>532</v>
      </c>
      <c r="E66" s="251">
        <v>2800</v>
      </c>
      <c r="F66" s="326">
        <v>2100</v>
      </c>
      <c r="G66" s="326">
        <f>400-56</f>
        <v>344</v>
      </c>
      <c r="H66" s="65">
        <f t="shared" si="18"/>
        <v>328.44799999999998</v>
      </c>
      <c r="I66" s="65">
        <v>328.44799999999998</v>
      </c>
      <c r="J66" s="79">
        <f t="shared" si="3"/>
        <v>95.479069767441857</v>
      </c>
      <c r="K66" s="65">
        <f t="shared" si="19"/>
        <v>344</v>
      </c>
      <c r="L66" s="523">
        <f t="shared" si="12"/>
        <v>100</v>
      </c>
      <c r="M66" s="381"/>
      <c r="N66" s="116"/>
      <c r="O66" s="245">
        <f t="shared" si="17"/>
        <v>15.552000000000021</v>
      </c>
      <c r="P66" s="697" t="s">
        <v>629</v>
      </c>
      <c r="Q66" s="531">
        <f t="shared" si="13"/>
        <v>0</v>
      </c>
    </row>
    <row r="67" spans="1:17" s="90" customFormat="1" ht="31.2">
      <c r="A67" s="127">
        <v>3</v>
      </c>
      <c r="B67" s="57" t="s">
        <v>327</v>
      </c>
      <c r="C67" s="239">
        <v>7907941</v>
      </c>
      <c r="D67" s="47" t="s">
        <v>532</v>
      </c>
      <c r="E67" s="251">
        <v>6500</v>
      </c>
      <c r="F67" s="326">
        <v>2700</v>
      </c>
      <c r="G67" s="326">
        <f>2300-31.197</f>
        <v>2268.8029999999999</v>
      </c>
      <c r="H67" s="65">
        <f t="shared" si="18"/>
        <v>2224.4029999999998</v>
      </c>
      <c r="I67" s="65">
        <v>2224.4029999999998</v>
      </c>
      <c r="J67" s="79">
        <f t="shared" si="3"/>
        <v>98.043020923367948</v>
      </c>
      <c r="K67" s="65">
        <f t="shared" si="19"/>
        <v>2268.8029999999999</v>
      </c>
      <c r="L67" s="523">
        <f t="shared" si="12"/>
        <v>100</v>
      </c>
      <c r="M67" s="381"/>
      <c r="N67" s="116"/>
      <c r="O67" s="245">
        <f t="shared" si="17"/>
        <v>44.400000000000091</v>
      </c>
      <c r="P67" s="697" t="s">
        <v>629</v>
      </c>
      <c r="Q67" s="531">
        <f t="shared" si="13"/>
        <v>0</v>
      </c>
    </row>
    <row r="68" spans="1:17" s="14" customFormat="1" ht="55.2" customHeight="1">
      <c r="A68" s="127">
        <v>4</v>
      </c>
      <c r="B68" s="57" t="s">
        <v>328</v>
      </c>
      <c r="C68" s="239">
        <v>7934251</v>
      </c>
      <c r="D68" s="47" t="s">
        <v>532</v>
      </c>
      <c r="E68" s="251">
        <v>16000</v>
      </c>
      <c r="F68" s="326">
        <v>6000</v>
      </c>
      <c r="G68" s="326">
        <v>4500</v>
      </c>
      <c r="H68" s="330">
        <f>I68</f>
        <v>2713.3180000000002</v>
      </c>
      <c r="I68" s="330">
        <v>2713.3180000000002</v>
      </c>
      <c r="J68" s="79">
        <f t="shared" si="3"/>
        <v>60.295955555555558</v>
      </c>
      <c r="K68" s="65">
        <f t="shared" si="19"/>
        <v>4500</v>
      </c>
      <c r="L68" s="523">
        <f t="shared" si="12"/>
        <v>100</v>
      </c>
      <c r="M68" s="381"/>
      <c r="N68" s="116"/>
      <c r="O68" s="245">
        <f t="shared" si="17"/>
        <v>1786.6819999999998</v>
      </c>
      <c r="P68" s="42"/>
      <c r="Q68" s="531">
        <f t="shared" si="13"/>
        <v>0</v>
      </c>
    </row>
    <row r="69" spans="1:17" s="14" customFormat="1" ht="31.2">
      <c r="A69" s="127">
        <v>5</v>
      </c>
      <c r="B69" s="57" t="s">
        <v>80</v>
      </c>
      <c r="C69" s="239">
        <v>7929844</v>
      </c>
      <c r="D69" s="47" t="s">
        <v>532</v>
      </c>
      <c r="E69" s="251">
        <v>7300</v>
      </c>
      <c r="F69" s="326">
        <v>3000</v>
      </c>
      <c r="G69" s="326">
        <v>2000</v>
      </c>
      <c r="H69" s="330">
        <f>I69</f>
        <v>2000</v>
      </c>
      <c r="I69" s="330">
        <v>2000</v>
      </c>
      <c r="J69" s="79">
        <f t="shared" si="3"/>
        <v>100</v>
      </c>
      <c r="K69" s="65">
        <f t="shared" si="19"/>
        <v>2000</v>
      </c>
      <c r="L69" s="523">
        <f t="shared" si="12"/>
        <v>100</v>
      </c>
      <c r="M69" s="381"/>
      <c r="N69" s="116"/>
      <c r="O69" s="245">
        <f t="shared" si="17"/>
        <v>0</v>
      </c>
      <c r="P69" s="42"/>
      <c r="Q69" s="531">
        <f t="shared" si="13"/>
        <v>0</v>
      </c>
    </row>
    <row r="70" spans="1:17" s="87" customFormat="1" ht="31.2">
      <c r="A70" s="127">
        <v>6</v>
      </c>
      <c r="B70" s="57" t="s">
        <v>324</v>
      </c>
      <c r="C70" s="56">
        <v>7990627</v>
      </c>
      <c r="D70" s="47" t="s">
        <v>532</v>
      </c>
      <c r="E70" s="251">
        <v>3300</v>
      </c>
      <c r="F70" s="326"/>
      <c r="G70" s="326">
        <v>1087.1969999999999</v>
      </c>
      <c r="H70" s="65">
        <f>I70</f>
        <v>1000</v>
      </c>
      <c r="I70" s="65">
        <v>1000</v>
      </c>
      <c r="J70" s="79">
        <f>I70/G70*100</f>
        <v>91.979650422140608</v>
      </c>
      <c r="K70" s="65">
        <f>G70</f>
        <v>1087.1969999999999</v>
      </c>
      <c r="L70" s="523">
        <f>K70/G70*100</f>
        <v>100</v>
      </c>
      <c r="M70" s="381"/>
      <c r="N70" s="116"/>
      <c r="O70" s="245">
        <f>G70-I70</f>
        <v>87.196999999999889</v>
      </c>
      <c r="P70" s="697" t="s">
        <v>629</v>
      </c>
      <c r="Q70" s="531">
        <f>H70-I70</f>
        <v>0</v>
      </c>
    </row>
    <row r="71" spans="1:17" s="14" customFormat="1" ht="31.2">
      <c r="A71" s="127">
        <v>7</v>
      </c>
      <c r="B71" s="57" t="s">
        <v>329</v>
      </c>
      <c r="C71" s="239">
        <v>8009136</v>
      </c>
      <c r="D71" s="47" t="s">
        <v>532</v>
      </c>
      <c r="E71" s="251">
        <v>5000</v>
      </c>
      <c r="F71" s="326"/>
      <c r="G71" s="326">
        <v>2000</v>
      </c>
      <c r="H71" s="330">
        <f>I71</f>
        <v>1675.93</v>
      </c>
      <c r="I71" s="330">
        <v>1675.93</v>
      </c>
      <c r="J71" s="79">
        <f t="shared" si="3"/>
        <v>83.796500000000009</v>
      </c>
      <c r="K71" s="65">
        <f t="shared" si="19"/>
        <v>2000</v>
      </c>
      <c r="L71" s="523">
        <f t="shared" si="12"/>
        <v>100</v>
      </c>
      <c r="M71" s="381"/>
      <c r="N71" s="116"/>
      <c r="O71" s="245">
        <f t="shared" si="17"/>
        <v>324.06999999999994</v>
      </c>
      <c r="P71" s="66"/>
      <c r="Q71" s="531">
        <f t="shared" si="13"/>
        <v>0</v>
      </c>
    </row>
    <row r="72" spans="1:17" s="17" customFormat="1" ht="31.2">
      <c r="A72" s="127">
        <v>8</v>
      </c>
      <c r="B72" s="57" t="s">
        <v>561</v>
      </c>
      <c r="C72" s="56">
        <v>7990613</v>
      </c>
      <c r="D72" s="47" t="s">
        <v>532</v>
      </c>
      <c r="E72" s="251">
        <v>6500</v>
      </c>
      <c r="F72" s="326"/>
      <c r="G72" s="326">
        <v>1000</v>
      </c>
      <c r="H72" s="330">
        <f>I72</f>
        <v>967.97900000000004</v>
      </c>
      <c r="I72" s="330">
        <v>967.97900000000004</v>
      </c>
      <c r="J72" s="79">
        <f t="shared" si="3"/>
        <v>96.797899999999998</v>
      </c>
      <c r="K72" s="65">
        <f t="shared" si="19"/>
        <v>1000</v>
      </c>
      <c r="L72" s="523">
        <f t="shared" si="12"/>
        <v>100</v>
      </c>
      <c r="M72" s="381"/>
      <c r="N72" s="116"/>
      <c r="O72" s="245">
        <f t="shared" si="17"/>
        <v>32.020999999999958</v>
      </c>
      <c r="P72" s="641" t="s">
        <v>628</v>
      </c>
      <c r="Q72" s="531">
        <f t="shared" si="13"/>
        <v>0</v>
      </c>
    </row>
    <row r="73" spans="1:17" s="17" customFormat="1" ht="33" customHeight="1">
      <c r="A73" s="127">
        <v>9</v>
      </c>
      <c r="B73" s="57" t="s">
        <v>626</v>
      </c>
      <c r="C73" s="56"/>
      <c r="D73" s="47" t="s">
        <v>532</v>
      </c>
      <c r="E73" s="251">
        <v>29500</v>
      </c>
      <c r="F73" s="326"/>
      <c r="G73" s="326">
        <v>5000</v>
      </c>
      <c r="H73" s="330"/>
      <c r="I73" s="330"/>
      <c r="J73" s="79"/>
      <c r="K73" s="65">
        <v>1000</v>
      </c>
      <c r="L73" s="523">
        <f t="shared" si="12"/>
        <v>20</v>
      </c>
      <c r="M73" s="381"/>
      <c r="N73" s="116"/>
      <c r="O73" s="245">
        <f t="shared" si="17"/>
        <v>5000</v>
      </c>
      <c r="P73" s="641" t="s">
        <v>627</v>
      </c>
      <c r="Q73" s="531"/>
    </row>
    <row r="74" spans="1:17" s="14" customFormat="1" ht="31.2" hidden="1">
      <c r="A74" s="127">
        <v>10</v>
      </c>
      <c r="B74" s="57" t="s">
        <v>330</v>
      </c>
      <c r="C74" s="56">
        <v>7910695</v>
      </c>
      <c r="D74" s="47" t="s">
        <v>532</v>
      </c>
      <c r="E74" s="251">
        <v>5500</v>
      </c>
      <c r="F74" s="326">
        <v>2000</v>
      </c>
      <c r="G74" s="463"/>
      <c r="H74" s="65"/>
      <c r="I74" s="330"/>
      <c r="J74" s="65"/>
      <c r="K74" s="65">
        <f t="shared" si="19"/>
        <v>0</v>
      </c>
      <c r="L74" s="523"/>
      <c r="M74" s="381" t="s">
        <v>546</v>
      </c>
      <c r="N74" s="116" t="s">
        <v>500</v>
      </c>
      <c r="O74" s="245">
        <f t="shared" si="17"/>
        <v>0</v>
      </c>
      <c r="P74" s="56"/>
      <c r="Q74" s="531">
        <f t="shared" si="13"/>
        <v>0</v>
      </c>
    </row>
    <row r="75" spans="1:17" s="16" customFormat="1" ht="25.2" customHeight="1">
      <c r="A75" s="144" t="s">
        <v>20</v>
      </c>
      <c r="B75" s="125" t="s">
        <v>22</v>
      </c>
      <c r="C75" s="629"/>
      <c r="D75" s="130"/>
      <c r="E75" s="62">
        <f>SUM(E76:E78)</f>
        <v>16900</v>
      </c>
      <c r="F75" s="62">
        <f>SUM(F76:F79)</f>
        <v>2697.5770000000002</v>
      </c>
      <c r="G75" s="62">
        <f t="shared" ref="G75:K75" si="20">SUM(G76:G79)</f>
        <v>18657</v>
      </c>
      <c r="H75" s="62">
        <f t="shared" si="20"/>
        <v>4512.2111939999995</v>
      </c>
      <c r="I75" s="62">
        <f t="shared" si="20"/>
        <v>4512.2111939999995</v>
      </c>
      <c r="J75" s="126">
        <f t="shared" si="3"/>
        <v>24.185084386557321</v>
      </c>
      <c r="K75" s="62">
        <f t="shared" si="20"/>
        <v>11657</v>
      </c>
      <c r="L75" s="522">
        <f t="shared" ref="L75:L78" si="21">K75/G75*100</f>
        <v>62.480570295331503</v>
      </c>
      <c r="M75" s="109"/>
      <c r="N75" s="109"/>
      <c r="O75" s="245">
        <f t="shared" si="17"/>
        <v>14144.788806</v>
      </c>
      <c r="P75" s="37"/>
      <c r="Q75" s="531">
        <f t="shared" si="13"/>
        <v>0</v>
      </c>
    </row>
    <row r="76" spans="1:17" s="8" customFormat="1" ht="37.200000000000003" customHeight="1">
      <c r="A76" s="127">
        <v>1</v>
      </c>
      <c r="B76" s="195" t="s">
        <v>540</v>
      </c>
      <c r="C76" s="30">
        <v>7878744</v>
      </c>
      <c r="D76" s="47" t="s">
        <v>532</v>
      </c>
      <c r="E76" s="29"/>
      <c r="F76" s="326">
        <v>2697.5770000000002</v>
      </c>
      <c r="G76" s="463">
        <f>3800-543</f>
        <v>3257</v>
      </c>
      <c r="H76" s="330">
        <f>I76</f>
        <v>3162.211194</v>
      </c>
      <c r="I76" s="330">
        <f>2707.211194+455</f>
        <v>3162.211194</v>
      </c>
      <c r="J76" s="79">
        <f t="shared" si="3"/>
        <v>97.089689714461159</v>
      </c>
      <c r="K76" s="65">
        <f>3800-543</f>
        <v>3257</v>
      </c>
      <c r="L76" s="523">
        <f t="shared" si="21"/>
        <v>100</v>
      </c>
      <c r="M76" s="155"/>
      <c r="N76" s="113"/>
      <c r="O76" s="245">
        <f t="shared" si="17"/>
        <v>94.788806000000022</v>
      </c>
      <c r="P76" s="641" t="s">
        <v>624</v>
      </c>
      <c r="Q76" s="531">
        <f t="shared" ref="Q76:Q78" si="22">H76-I76</f>
        <v>0</v>
      </c>
    </row>
    <row r="77" spans="1:17" ht="62.4">
      <c r="A77" s="180">
        <v>2</v>
      </c>
      <c r="B77" s="57" t="s">
        <v>542</v>
      </c>
      <c r="C77" s="218">
        <v>8034534</v>
      </c>
      <c r="D77" s="47" t="s">
        <v>541</v>
      </c>
      <c r="E77" s="463">
        <v>400</v>
      </c>
      <c r="F77" s="217"/>
      <c r="G77" s="463">
        <v>400</v>
      </c>
      <c r="H77" s="493"/>
      <c r="I77" s="494"/>
      <c r="J77" s="79">
        <f t="shared" si="3"/>
        <v>0</v>
      </c>
      <c r="K77" s="65">
        <v>400</v>
      </c>
      <c r="L77" s="523">
        <f t="shared" si="21"/>
        <v>100</v>
      </c>
      <c r="M77" s="381"/>
      <c r="N77" s="495"/>
      <c r="O77" s="245">
        <f t="shared" si="17"/>
        <v>400</v>
      </c>
      <c r="P77" s="641" t="s">
        <v>539</v>
      </c>
      <c r="Q77" s="531">
        <f t="shared" si="22"/>
        <v>0</v>
      </c>
    </row>
    <row r="78" spans="1:17" s="13" customFormat="1" ht="31.2">
      <c r="A78" s="218">
        <v>3</v>
      </c>
      <c r="B78" s="57" t="s">
        <v>557</v>
      </c>
      <c r="C78" s="218">
        <v>8034590</v>
      </c>
      <c r="D78" s="47" t="s">
        <v>532</v>
      </c>
      <c r="E78" s="251">
        <v>16500</v>
      </c>
      <c r="F78" s="630"/>
      <c r="G78" s="326">
        <v>15000</v>
      </c>
      <c r="H78" s="790">
        <f>I78</f>
        <v>1350</v>
      </c>
      <c r="I78" s="790">
        <v>1350</v>
      </c>
      <c r="J78" s="79">
        <f t="shared" ref="J78" si="23">I78/G78*100</f>
        <v>9</v>
      </c>
      <c r="K78" s="793">
        <v>8000</v>
      </c>
      <c r="L78" s="523">
        <f t="shared" si="21"/>
        <v>53.333333333333336</v>
      </c>
      <c r="M78" s="631"/>
      <c r="N78" s="632"/>
      <c r="O78" s="245">
        <f t="shared" si="17"/>
        <v>13650</v>
      </c>
      <c r="P78" s="642" t="s">
        <v>599</v>
      </c>
      <c r="Q78" s="633">
        <f t="shared" si="22"/>
        <v>0</v>
      </c>
    </row>
    <row r="80" spans="1:17">
      <c r="E80" s="812"/>
      <c r="F80" s="812"/>
    </row>
  </sheetData>
  <autoFilter ref="A7:V78" xr:uid="{00000000-0001-0000-0100-000000000000}"/>
  <mergeCells count="22">
    <mergeCell ref="E80:F80"/>
    <mergeCell ref="P5:P7"/>
    <mergeCell ref="O5:O7"/>
    <mergeCell ref="N5:N7"/>
    <mergeCell ref="F6:F7"/>
    <mergeCell ref="G6:G7"/>
    <mergeCell ref="K5:K7"/>
    <mergeCell ref="A1:M1"/>
    <mergeCell ref="A2:M2"/>
    <mergeCell ref="A3:M3"/>
    <mergeCell ref="A5:A7"/>
    <mergeCell ref="B5:B7"/>
    <mergeCell ref="E5:E7"/>
    <mergeCell ref="H5:H7"/>
    <mergeCell ref="I5:I7"/>
    <mergeCell ref="J5:J7"/>
    <mergeCell ref="M5:M7"/>
    <mergeCell ref="F5:G5"/>
    <mergeCell ref="D5:D7"/>
    <mergeCell ref="C5:C7"/>
    <mergeCell ref="J4:M4"/>
    <mergeCell ref="L5:L7"/>
  </mergeCells>
  <printOptions horizontalCentered="1"/>
  <pageMargins left="0.39370078740157483" right="0.23622047244094491" top="0.39370078740157483" bottom="0.39370078740157483" header="0.31496062992125984" footer="0.31496062992125984"/>
  <pageSetup paperSize="9" scale="57" orientation="landscape" r:id="rId1"/>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0075-9B07-4A3F-83EA-D6430E6E8C67}">
  <sheetPr>
    <tabColor rgb="FFFF0000"/>
  </sheetPr>
  <dimension ref="A1:AC450"/>
  <sheetViews>
    <sheetView zoomScale="70" zoomScaleNormal="70" zoomScaleSheetLayoutView="70" workbookViewId="0">
      <pane xSplit="2" ySplit="9" topLeftCell="C163" activePane="bottomRight" state="frozen"/>
      <selection pane="topRight" activeCell="C1" sqref="C1"/>
      <selection pane="bottomLeft" activeCell="A9" sqref="A9"/>
      <selection pane="bottomRight" activeCell="G169" sqref="G169"/>
    </sheetView>
  </sheetViews>
  <sheetFormatPr defaultColWidth="8.6640625" defaultRowHeight="15.6"/>
  <cols>
    <col min="1" max="1" width="6.5546875" style="179" customWidth="1"/>
    <col min="2" max="2" width="44.21875" style="346" customWidth="1"/>
    <col min="3" max="3" width="20" style="347" customWidth="1"/>
    <col min="4" max="4" width="11.88671875" style="378" customWidth="1"/>
    <col min="5" max="5" width="14.5546875" style="335" customWidth="1"/>
    <col min="6" max="6" width="17.33203125" style="335" customWidth="1"/>
    <col min="7" max="7" width="14.109375" style="335" customWidth="1"/>
    <col min="8" max="8" width="14.88671875" style="335" customWidth="1"/>
    <col min="9" max="9" width="14.5546875" style="335" customWidth="1"/>
    <col min="10" max="10" width="15" style="672" customWidth="1"/>
    <col min="11" max="12" width="13.44140625" style="262" customWidth="1"/>
    <col min="13" max="13" width="12" style="262" customWidth="1"/>
    <col min="14" max="14" width="17" style="384" customWidth="1"/>
    <col min="15" max="15" width="11.21875" style="384" customWidth="1"/>
    <col min="16" max="16" width="37.109375" style="723" customWidth="1"/>
    <col min="17" max="18" width="10.77734375" style="260" customWidth="1"/>
    <col min="19" max="19" width="10.33203125" style="260" customWidth="1"/>
    <col min="20" max="20" width="18.88671875" style="23" customWidth="1"/>
    <col min="21" max="21" width="15.21875" style="524" customWidth="1"/>
    <col min="22" max="22" width="12.33203125" style="23" customWidth="1"/>
    <col min="23" max="28" width="8.6640625" style="23" customWidth="1"/>
    <col min="29" max="29" width="17.5546875" style="23" customWidth="1"/>
    <col min="30" max="16384" width="8.6640625" style="23"/>
  </cols>
  <sheetData>
    <row r="1" spans="1:29" ht="17.399999999999999" customHeight="1">
      <c r="A1" s="824" t="s">
        <v>26</v>
      </c>
      <c r="B1" s="824"/>
      <c r="C1" s="824"/>
      <c r="D1" s="824"/>
      <c r="E1" s="824"/>
      <c r="F1" s="824"/>
      <c r="G1" s="824"/>
      <c r="H1" s="825"/>
      <c r="I1" s="824"/>
      <c r="J1" s="825"/>
      <c r="K1" s="824"/>
      <c r="L1" s="824"/>
      <c r="M1" s="824"/>
      <c r="N1" s="824"/>
      <c r="O1" s="16"/>
      <c r="P1" s="398"/>
      <c r="Q1" s="16"/>
      <c r="R1" s="16"/>
      <c r="S1" s="16"/>
    </row>
    <row r="2" spans="1:29" ht="24" customHeight="1">
      <c r="A2" s="799" t="s">
        <v>335</v>
      </c>
      <c r="B2" s="799"/>
      <c r="C2" s="799"/>
      <c r="D2" s="799"/>
      <c r="E2" s="799"/>
      <c r="F2" s="799"/>
      <c r="G2" s="799"/>
      <c r="H2" s="826"/>
      <c r="I2" s="799"/>
      <c r="J2" s="826"/>
      <c r="K2" s="799"/>
      <c r="L2" s="799"/>
      <c r="M2" s="799"/>
      <c r="N2" s="799"/>
      <c r="O2" s="39"/>
      <c r="P2" s="704">
        <f>J9-26697.8463</f>
        <v>54451.044064000002</v>
      </c>
      <c r="Q2" s="39">
        <f>20/42*100</f>
        <v>47.619047619047613</v>
      </c>
      <c r="R2" s="39"/>
      <c r="S2" s="39"/>
    </row>
    <row r="3" spans="1:29" ht="24.6" customHeight="1">
      <c r="A3" s="827" t="s">
        <v>597</v>
      </c>
      <c r="B3" s="827"/>
      <c r="C3" s="827"/>
      <c r="D3" s="827"/>
      <c r="E3" s="827"/>
      <c r="F3" s="827"/>
      <c r="G3" s="827"/>
      <c r="H3" s="828"/>
      <c r="I3" s="827"/>
      <c r="J3" s="828"/>
      <c r="K3" s="827"/>
      <c r="L3" s="827"/>
      <c r="M3" s="827"/>
      <c r="N3" s="827"/>
      <c r="O3" s="386"/>
      <c r="P3" s="705"/>
      <c r="Q3" s="386"/>
      <c r="R3" s="730">
        <f>F226+F228+F230</f>
        <v>4048.8</v>
      </c>
      <c r="S3" s="386"/>
    </row>
    <row r="4" spans="1:29" ht="23.4" customHeight="1">
      <c r="A4" s="387"/>
      <c r="B4" s="388"/>
      <c r="C4" s="387"/>
      <c r="D4" s="387"/>
      <c r="K4" s="829" t="s">
        <v>6</v>
      </c>
      <c r="L4" s="829"/>
      <c r="M4" s="829"/>
      <c r="N4" s="829"/>
      <c r="O4" s="444"/>
      <c r="P4" s="706"/>
      <c r="Q4" s="389"/>
      <c r="R4" s="389"/>
      <c r="S4" s="389"/>
    </row>
    <row r="5" spans="1:29" s="179" customFormat="1" ht="24" customHeight="1">
      <c r="A5" s="833" t="s">
        <v>0</v>
      </c>
      <c r="B5" s="833" t="s">
        <v>1</v>
      </c>
      <c r="C5" s="833" t="s">
        <v>128</v>
      </c>
      <c r="D5" s="833" t="s">
        <v>142</v>
      </c>
      <c r="E5" s="842" t="s">
        <v>408</v>
      </c>
      <c r="F5" s="837" t="s">
        <v>409</v>
      </c>
      <c r="G5" s="830" t="s">
        <v>28</v>
      </c>
      <c r="H5" s="832"/>
      <c r="I5" s="798" t="s">
        <v>631</v>
      </c>
      <c r="J5" s="805" t="s">
        <v>632</v>
      </c>
      <c r="K5" s="798" t="s">
        <v>633</v>
      </c>
      <c r="L5" s="834" t="s">
        <v>551</v>
      </c>
      <c r="M5" s="798" t="s">
        <v>550</v>
      </c>
      <c r="N5" s="845" t="s">
        <v>2</v>
      </c>
      <c r="O5" s="263"/>
      <c r="P5" s="846" t="s">
        <v>30</v>
      </c>
      <c r="Q5" s="839" t="s">
        <v>535</v>
      </c>
      <c r="R5" s="390"/>
      <c r="S5" s="839" t="s">
        <v>315</v>
      </c>
      <c r="T5" s="838" t="s">
        <v>56</v>
      </c>
      <c r="U5" s="385"/>
    </row>
    <row r="6" spans="1:29" s="179" customFormat="1" ht="31.2">
      <c r="A6" s="833"/>
      <c r="B6" s="833"/>
      <c r="C6" s="833"/>
      <c r="D6" s="833"/>
      <c r="E6" s="843"/>
      <c r="F6" s="837"/>
      <c r="G6" s="830" t="s">
        <v>332</v>
      </c>
      <c r="H6" s="831" t="s">
        <v>302</v>
      </c>
      <c r="I6" s="798"/>
      <c r="J6" s="805"/>
      <c r="K6" s="798"/>
      <c r="L6" s="835"/>
      <c r="M6" s="798"/>
      <c r="N6" s="845"/>
      <c r="O6" s="263"/>
      <c r="P6" s="846"/>
      <c r="Q6" s="840"/>
      <c r="R6" s="391" t="s">
        <v>536</v>
      </c>
      <c r="S6" s="840"/>
      <c r="T6" s="838"/>
      <c r="U6" s="385"/>
    </row>
    <row r="7" spans="1:29" s="179" customFormat="1" ht="31.2" customHeight="1">
      <c r="A7" s="833"/>
      <c r="B7" s="833"/>
      <c r="C7" s="833"/>
      <c r="D7" s="833"/>
      <c r="E7" s="844"/>
      <c r="F7" s="837"/>
      <c r="G7" s="830"/>
      <c r="H7" s="831"/>
      <c r="I7" s="798"/>
      <c r="J7" s="805"/>
      <c r="K7" s="798"/>
      <c r="L7" s="836"/>
      <c r="M7" s="798"/>
      <c r="N7" s="845"/>
      <c r="O7" s="263"/>
      <c r="P7" s="846"/>
      <c r="Q7" s="841"/>
      <c r="R7" s="392"/>
      <c r="S7" s="841"/>
      <c r="T7" s="838"/>
      <c r="U7" s="385"/>
    </row>
    <row r="8" spans="1:29" s="179" customFormat="1" ht="25.2" customHeight="1">
      <c r="A8" s="496"/>
      <c r="B8" s="496"/>
      <c r="C8" s="496"/>
      <c r="D8" s="496"/>
      <c r="E8" s="497"/>
      <c r="F8" s="499"/>
      <c r="G8" s="498"/>
      <c r="H8" s="652"/>
      <c r="I8" s="130"/>
      <c r="J8" s="177"/>
      <c r="K8" s="130"/>
      <c r="L8" s="349"/>
      <c r="M8" s="349"/>
      <c r="N8" s="263"/>
      <c r="O8" s="263"/>
      <c r="P8" s="707"/>
      <c r="Q8" s="392"/>
      <c r="R8" s="392"/>
      <c r="S8" s="392"/>
      <c r="T8" s="264"/>
      <c r="U8" s="385"/>
    </row>
    <row r="9" spans="1:29" s="16" customFormat="1" ht="27" customHeight="1">
      <c r="A9" s="393"/>
      <c r="B9" s="263" t="s">
        <v>163</v>
      </c>
      <c r="C9" s="227"/>
      <c r="D9" s="263"/>
      <c r="E9" s="394">
        <f t="shared" ref="E9:J9" si="0">E10+E23+E90</f>
        <v>464298.63099999999</v>
      </c>
      <c r="F9" s="394">
        <f t="shared" si="0"/>
        <v>351607.45999999996</v>
      </c>
      <c r="G9" s="394">
        <f t="shared" si="0"/>
        <v>105699.01999999999</v>
      </c>
      <c r="H9" s="394">
        <f t="shared" si="0"/>
        <v>117495</v>
      </c>
      <c r="I9" s="394">
        <f t="shared" si="0"/>
        <v>81555.288364000007</v>
      </c>
      <c r="J9" s="673">
        <f t="shared" si="0"/>
        <v>81148.890364000006</v>
      </c>
      <c r="K9" s="395">
        <f>J9/H9*100</f>
        <v>69.065824387420747</v>
      </c>
      <c r="L9" s="394">
        <f>L10+L23+L90</f>
        <v>115265</v>
      </c>
      <c r="M9" s="395">
        <f t="shared" ref="M9:M43" si="1">L9/H9*100</f>
        <v>98.102046895612588</v>
      </c>
      <c r="N9" s="348" t="s">
        <v>417</v>
      </c>
      <c r="O9" s="348"/>
      <c r="P9" s="708"/>
      <c r="Q9" s="396"/>
      <c r="R9" s="396"/>
      <c r="S9" s="396"/>
      <c r="T9" s="397">
        <f>H9-J9</f>
        <v>36346.109635999994</v>
      </c>
      <c r="U9" s="491">
        <f t="shared" ref="U9:U72" si="2">I9-J9</f>
        <v>406.39800000000105</v>
      </c>
      <c r="V9" s="491"/>
      <c r="AC9" s="491"/>
    </row>
    <row r="10" spans="1:29" s="16" customFormat="1" ht="25.2" customHeight="1">
      <c r="A10" s="393" t="s">
        <v>13</v>
      </c>
      <c r="B10" s="225" t="s">
        <v>313</v>
      </c>
      <c r="C10" s="227"/>
      <c r="D10" s="263"/>
      <c r="E10" s="394">
        <f>E11+E18</f>
        <v>5941.3600000000006</v>
      </c>
      <c r="F10" s="394">
        <f t="shared" ref="F10:H10" si="3">F11+F18</f>
        <v>5166.3599999999997</v>
      </c>
      <c r="G10" s="394">
        <f t="shared" si="3"/>
        <v>1268.06</v>
      </c>
      <c r="H10" s="394">
        <f t="shared" si="3"/>
        <v>2250</v>
      </c>
      <c r="I10" s="394">
        <f t="shared" ref="I10" si="4">I11+I18</f>
        <v>1831.9400949999999</v>
      </c>
      <c r="J10" s="673">
        <f t="shared" ref="J10" si="5">J11+J18</f>
        <v>1831.9400949999999</v>
      </c>
      <c r="K10" s="395">
        <f t="shared" ref="K10:K73" si="6">J10/H10*100</f>
        <v>81.419559777777778</v>
      </c>
      <c r="L10" s="394">
        <f t="shared" ref="L10" si="7">L11+L18</f>
        <v>2250</v>
      </c>
      <c r="M10" s="407">
        <f t="shared" si="1"/>
        <v>100</v>
      </c>
      <c r="N10" s="396"/>
      <c r="O10" s="396"/>
      <c r="P10" s="708"/>
      <c r="Q10" s="396">
        <f>SUM(Q11:Q22)</f>
        <v>6</v>
      </c>
      <c r="R10" s="396"/>
      <c r="S10" s="396"/>
      <c r="T10" s="397"/>
      <c r="U10" s="491">
        <f t="shared" si="2"/>
        <v>0</v>
      </c>
      <c r="V10" s="491"/>
      <c r="AC10" s="491"/>
    </row>
    <row r="11" spans="1:29" s="254" customFormat="1" ht="17.399999999999999" customHeight="1">
      <c r="A11" s="264">
        <v>1</v>
      </c>
      <c r="B11" s="225" t="s">
        <v>249</v>
      </c>
      <c r="C11" s="263"/>
      <c r="D11" s="263"/>
      <c r="E11" s="399">
        <f>E12+E14</f>
        <v>3531.06</v>
      </c>
      <c r="F11" s="399">
        <f t="shared" ref="F11" si="8">F12+F14</f>
        <v>3353.06</v>
      </c>
      <c r="G11" s="399">
        <f t="shared" ref="G11:L11" si="9">G12+G14</f>
        <v>562.66</v>
      </c>
      <c r="H11" s="399">
        <f t="shared" si="9"/>
        <v>1875</v>
      </c>
      <c r="I11" s="399">
        <f t="shared" si="9"/>
        <v>1554.021</v>
      </c>
      <c r="J11" s="674">
        <f t="shared" si="9"/>
        <v>1554.021</v>
      </c>
      <c r="K11" s="395">
        <f t="shared" si="6"/>
        <v>82.881119999999996</v>
      </c>
      <c r="L11" s="399">
        <f t="shared" si="9"/>
        <v>1875</v>
      </c>
      <c r="M11" s="407">
        <f t="shared" si="1"/>
        <v>100</v>
      </c>
      <c r="N11" s="263"/>
      <c r="O11" s="263"/>
      <c r="P11" s="709"/>
      <c r="Q11" s="253"/>
      <c r="R11" s="253"/>
      <c r="S11" s="253"/>
      <c r="T11" s="400">
        <f t="shared" ref="T11:T25" si="10">H11-J11</f>
        <v>320.97900000000004</v>
      </c>
      <c r="U11" s="491">
        <f t="shared" si="2"/>
        <v>0</v>
      </c>
      <c r="V11" s="491"/>
      <c r="AC11" s="491"/>
    </row>
    <row r="12" spans="1:29" s="487" customFormat="1" ht="16.2">
      <c r="A12" s="282" t="s">
        <v>39</v>
      </c>
      <c r="B12" s="401" t="s">
        <v>337</v>
      </c>
      <c r="C12" s="383"/>
      <c r="D12" s="483"/>
      <c r="E12" s="403">
        <f>E13</f>
        <v>1267.06</v>
      </c>
      <c r="F12" s="403">
        <f t="shared" ref="F12" si="11">F13</f>
        <v>1203.06</v>
      </c>
      <c r="G12" s="403">
        <f t="shared" ref="G12:L12" si="12">G13</f>
        <v>562.66</v>
      </c>
      <c r="H12" s="403">
        <f t="shared" si="12"/>
        <v>640.4</v>
      </c>
      <c r="I12" s="403">
        <f t="shared" si="12"/>
        <v>319.42099999999999</v>
      </c>
      <c r="J12" s="675">
        <f t="shared" si="12"/>
        <v>319.42099999999999</v>
      </c>
      <c r="K12" s="482">
        <f t="shared" si="6"/>
        <v>49.878357276702062</v>
      </c>
      <c r="L12" s="403">
        <f t="shared" si="12"/>
        <v>640.4</v>
      </c>
      <c r="M12" s="407">
        <f t="shared" si="1"/>
        <v>100</v>
      </c>
      <c r="N12" s="484"/>
      <c r="O12" s="484"/>
      <c r="P12" s="706"/>
      <c r="Q12" s="485"/>
      <c r="R12" s="485"/>
      <c r="S12" s="485"/>
      <c r="T12" s="486">
        <f t="shared" si="10"/>
        <v>320.97899999999998</v>
      </c>
      <c r="U12" s="491">
        <f t="shared" si="2"/>
        <v>0</v>
      </c>
      <c r="V12" s="491"/>
      <c r="AC12" s="491"/>
    </row>
    <row r="13" spans="1:29">
      <c r="A13" s="270" t="s">
        <v>35</v>
      </c>
      <c r="B13" s="337" t="s">
        <v>176</v>
      </c>
      <c r="C13" s="227" t="s">
        <v>175</v>
      </c>
      <c r="D13" s="402">
        <v>7998828</v>
      </c>
      <c r="E13" s="404">
        <v>1267.06</v>
      </c>
      <c r="F13" s="405">
        <v>1203.06</v>
      </c>
      <c r="G13" s="406">
        <v>562.66</v>
      </c>
      <c r="H13" s="406">
        <v>640.4</v>
      </c>
      <c r="I13" s="334">
        <f>J13</f>
        <v>319.42099999999999</v>
      </c>
      <c r="J13" s="503">
        <f>363.084-43.663</f>
        <v>319.42099999999999</v>
      </c>
      <c r="K13" s="407">
        <f t="shared" si="6"/>
        <v>49.878357276702062</v>
      </c>
      <c r="L13" s="733">
        <f>H13</f>
        <v>640.4</v>
      </c>
      <c r="M13" s="407">
        <f t="shared" si="1"/>
        <v>100</v>
      </c>
      <c r="N13" s="408"/>
      <c r="O13" s="408"/>
      <c r="P13" s="710"/>
      <c r="Q13" s="255">
        <v>1</v>
      </c>
      <c r="R13" s="255"/>
      <c r="S13" s="255"/>
      <c r="T13" s="397">
        <f t="shared" si="10"/>
        <v>320.97899999999998</v>
      </c>
      <c r="U13" s="491">
        <f t="shared" si="2"/>
        <v>0</v>
      </c>
      <c r="V13" s="491"/>
      <c r="AC13" s="491"/>
    </row>
    <row r="14" spans="1:29" s="254" customFormat="1" ht="16.2">
      <c r="A14" s="282" t="s">
        <v>40</v>
      </c>
      <c r="B14" s="409" t="s">
        <v>12</v>
      </c>
      <c r="C14" s="263"/>
      <c r="D14" s="225"/>
      <c r="E14" s="410">
        <f>SUM(E15:E17)</f>
        <v>2264</v>
      </c>
      <c r="F14" s="410">
        <f t="shared" ref="F14" si="13">SUM(F15:F17)</f>
        <v>2150</v>
      </c>
      <c r="G14" s="410">
        <f t="shared" ref="G14:L14" si="14">SUM(G15:G17)</f>
        <v>0</v>
      </c>
      <c r="H14" s="410">
        <f t="shared" si="14"/>
        <v>1234.5999999999999</v>
      </c>
      <c r="I14" s="410">
        <f t="shared" si="14"/>
        <v>1234.5999999999999</v>
      </c>
      <c r="J14" s="676">
        <f t="shared" si="14"/>
        <v>1234.5999999999999</v>
      </c>
      <c r="K14" s="395">
        <f t="shared" si="6"/>
        <v>100</v>
      </c>
      <c r="L14" s="410">
        <f t="shared" si="14"/>
        <v>1234.5999999999999</v>
      </c>
      <c r="M14" s="407">
        <f t="shared" si="1"/>
        <v>100</v>
      </c>
      <c r="N14" s="263"/>
      <c r="O14" s="263"/>
      <c r="P14" s="709"/>
      <c r="Q14" s="253"/>
      <c r="R14" s="253"/>
      <c r="S14" s="253"/>
      <c r="T14" s="400">
        <f t="shared" si="10"/>
        <v>0</v>
      </c>
      <c r="U14" s="491">
        <f t="shared" si="2"/>
        <v>0</v>
      </c>
      <c r="V14" s="491"/>
      <c r="AC14" s="491"/>
    </row>
    <row r="15" spans="1:29">
      <c r="A15" s="270" t="s">
        <v>35</v>
      </c>
      <c r="B15" s="337" t="s">
        <v>338</v>
      </c>
      <c r="C15" s="227" t="s">
        <v>175</v>
      </c>
      <c r="D15" s="402">
        <v>8022663</v>
      </c>
      <c r="E15" s="404">
        <v>1000</v>
      </c>
      <c r="F15" s="405">
        <v>950</v>
      </c>
      <c r="G15" s="406"/>
      <c r="H15" s="406">
        <v>634.6</v>
      </c>
      <c r="I15" s="334">
        <f>J15</f>
        <v>634.6</v>
      </c>
      <c r="J15" s="503">
        <v>634.6</v>
      </c>
      <c r="K15" s="407">
        <f t="shared" si="6"/>
        <v>100</v>
      </c>
      <c r="L15" s="733">
        <f>H15</f>
        <v>634.6</v>
      </c>
      <c r="M15" s="407">
        <f t="shared" si="1"/>
        <v>100</v>
      </c>
      <c r="N15" s="408"/>
      <c r="O15" s="408"/>
      <c r="P15" s="710"/>
      <c r="Q15" s="255">
        <v>1</v>
      </c>
      <c r="R15" s="255">
        <v>1</v>
      </c>
      <c r="S15" s="255">
        <v>1</v>
      </c>
      <c r="T15" s="397">
        <f t="shared" si="10"/>
        <v>0</v>
      </c>
      <c r="U15" s="491">
        <f t="shared" si="2"/>
        <v>0</v>
      </c>
      <c r="V15" s="491"/>
      <c r="AC15" s="491"/>
    </row>
    <row r="16" spans="1:29" s="254" customFormat="1">
      <c r="A16" s="270" t="s">
        <v>35</v>
      </c>
      <c r="B16" s="337" t="s">
        <v>339</v>
      </c>
      <c r="C16" s="227" t="s">
        <v>175</v>
      </c>
      <c r="D16" s="227">
        <v>8022665</v>
      </c>
      <c r="E16" s="404">
        <v>632</v>
      </c>
      <c r="F16" s="405">
        <v>600</v>
      </c>
      <c r="G16" s="406"/>
      <c r="H16" s="406">
        <v>300</v>
      </c>
      <c r="I16" s="415">
        <f>J16</f>
        <v>300</v>
      </c>
      <c r="J16" s="677">
        <v>300</v>
      </c>
      <c r="K16" s="407">
        <f t="shared" si="6"/>
        <v>100</v>
      </c>
      <c r="L16" s="733">
        <f>H16</f>
        <v>300</v>
      </c>
      <c r="M16" s="407">
        <f t="shared" si="1"/>
        <v>100</v>
      </c>
      <c r="N16" s="408"/>
      <c r="O16" s="408"/>
      <c r="P16" s="709"/>
      <c r="Q16" s="255">
        <v>1</v>
      </c>
      <c r="R16" s="255">
        <v>1</v>
      </c>
      <c r="S16" s="255">
        <v>1</v>
      </c>
      <c r="T16" s="400">
        <f t="shared" si="10"/>
        <v>0</v>
      </c>
      <c r="U16" s="491">
        <f t="shared" si="2"/>
        <v>0</v>
      </c>
      <c r="V16" s="491"/>
      <c r="AC16" s="491"/>
    </row>
    <row r="17" spans="1:29">
      <c r="A17" s="270" t="s">
        <v>35</v>
      </c>
      <c r="B17" s="337" t="s">
        <v>340</v>
      </c>
      <c r="C17" s="227" t="s">
        <v>175</v>
      </c>
      <c r="D17" s="402">
        <v>8022664</v>
      </c>
      <c r="E17" s="404">
        <v>632</v>
      </c>
      <c r="F17" s="405">
        <v>600</v>
      </c>
      <c r="G17" s="406"/>
      <c r="H17" s="406">
        <v>300</v>
      </c>
      <c r="I17" s="334">
        <f>J17</f>
        <v>300</v>
      </c>
      <c r="J17" s="503">
        <v>300</v>
      </c>
      <c r="K17" s="407">
        <f t="shared" si="6"/>
        <v>100</v>
      </c>
      <c r="L17" s="733">
        <f>H17</f>
        <v>300</v>
      </c>
      <c r="M17" s="407">
        <f t="shared" si="1"/>
        <v>100</v>
      </c>
      <c r="N17" s="408"/>
      <c r="O17" s="408"/>
      <c r="P17" s="710"/>
      <c r="Q17" s="255">
        <v>1</v>
      </c>
      <c r="R17" s="255">
        <v>1</v>
      </c>
      <c r="S17" s="255">
        <v>1</v>
      </c>
      <c r="T17" s="397">
        <f t="shared" si="10"/>
        <v>0</v>
      </c>
      <c r="U17" s="491">
        <f t="shared" si="2"/>
        <v>0</v>
      </c>
      <c r="V17" s="491"/>
      <c r="AC17" s="491"/>
    </row>
    <row r="18" spans="1:29">
      <c r="A18" s="264">
        <v>2</v>
      </c>
      <c r="B18" s="225" t="s">
        <v>306</v>
      </c>
      <c r="C18" s="225"/>
      <c r="D18" s="402"/>
      <c r="E18" s="411">
        <f>E19+E21</f>
        <v>2410.3000000000002</v>
      </c>
      <c r="F18" s="411">
        <f t="shared" ref="F18" si="15">F19+F21</f>
        <v>1813.3</v>
      </c>
      <c r="G18" s="411">
        <f t="shared" ref="G18:L18" si="16">G19+G21</f>
        <v>705.4</v>
      </c>
      <c r="H18" s="411">
        <f t="shared" si="16"/>
        <v>375</v>
      </c>
      <c r="I18" s="411">
        <f t="shared" si="16"/>
        <v>277.91909499999997</v>
      </c>
      <c r="J18" s="678">
        <f t="shared" si="16"/>
        <v>277.91909499999997</v>
      </c>
      <c r="K18" s="395">
        <f t="shared" si="6"/>
        <v>74.11175866666666</v>
      </c>
      <c r="L18" s="411">
        <f t="shared" si="16"/>
        <v>375</v>
      </c>
      <c r="M18" s="407">
        <f t="shared" si="1"/>
        <v>100</v>
      </c>
      <c r="N18" s="227"/>
      <c r="O18" s="227"/>
      <c r="P18" s="710"/>
      <c r="Q18" s="255"/>
      <c r="R18" s="255"/>
      <c r="S18" s="255"/>
      <c r="T18" s="397">
        <f t="shared" si="10"/>
        <v>97.08090500000003</v>
      </c>
      <c r="U18" s="491">
        <f t="shared" si="2"/>
        <v>0</v>
      </c>
      <c r="V18" s="491"/>
      <c r="AC18" s="491"/>
    </row>
    <row r="19" spans="1:29" ht="16.2">
      <c r="A19" s="282" t="s">
        <v>39</v>
      </c>
      <c r="B19" s="401" t="s">
        <v>337</v>
      </c>
      <c r="C19" s="225"/>
      <c r="D19" s="402"/>
      <c r="E19" s="410">
        <f>E20</f>
        <v>1143</v>
      </c>
      <c r="F19" s="410">
        <f t="shared" ref="F19" si="17">F20</f>
        <v>800</v>
      </c>
      <c r="G19" s="410">
        <f t="shared" ref="G19:L19" si="18">G20</f>
        <v>705.4</v>
      </c>
      <c r="H19" s="410">
        <f t="shared" si="18"/>
        <v>94.600000000000023</v>
      </c>
      <c r="I19" s="410">
        <f t="shared" si="18"/>
        <v>58.919094999999999</v>
      </c>
      <c r="J19" s="676">
        <f t="shared" si="18"/>
        <v>58.919094999999999</v>
      </c>
      <c r="K19" s="395">
        <f t="shared" si="6"/>
        <v>62.282341437632113</v>
      </c>
      <c r="L19" s="410">
        <f t="shared" si="18"/>
        <v>94.600000000000023</v>
      </c>
      <c r="M19" s="407">
        <f t="shared" si="1"/>
        <v>100</v>
      </c>
      <c r="N19" s="227"/>
      <c r="O19" s="227"/>
      <c r="P19" s="710"/>
      <c r="Q19" s="255"/>
      <c r="R19" s="255"/>
      <c r="S19" s="255"/>
      <c r="T19" s="397">
        <f t="shared" si="10"/>
        <v>35.680905000000024</v>
      </c>
      <c r="U19" s="491">
        <f t="shared" si="2"/>
        <v>0</v>
      </c>
      <c r="V19" s="491"/>
      <c r="AC19" s="491"/>
    </row>
    <row r="20" spans="1:29" s="254" customFormat="1" ht="31.2">
      <c r="A20" s="271" t="s">
        <v>35</v>
      </c>
      <c r="B20" s="337" t="s">
        <v>177</v>
      </c>
      <c r="C20" s="227" t="s">
        <v>134</v>
      </c>
      <c r="D20" s="227">
        <v>8003777</v>
      </c>
      <c r="E20" s="404">
        <v>1143</v>
      </c>
      <c r="F20" s="405">
        <v>800</v>
      </c>
      <c r="G20" s="406">
        <v>705.4</v>
      </c>
      <c r="H20" s="406">
        <v>94.600000000000023</v>
      </c>
      <c r="I20" s="415">
        <f>J20</f>
        <v>58.919094999999999</v>
      </c>
      <c r="J20" s="677">
        <v>58.919094999999999</v>
      </c>
      <c r="K20" s="407">
        <f t="shared" si="6"/>
        <v>62.282341437632113</v>
      </c>
      <c r="L20" s="733">
        <f>H20</f>
        <v>94.600000000000023</v>
      </c>
      <c r="M20" s="407">
        <f t="shared" si="1"/>
        <v>100</v>
      </c>
      <c r="N20" s="408"/>
      <c r="O20" s="408"/>
      <c r="P20" s="709"/>
      <c r="Q20" s="253">
        <v>1</v>
      </c>
      <c r="R20" s="253"/>
      <c r="S20" s="253"/>
      <c r="T20" s="400">
        <f t="shared" si="10"/>
        <v>35.680905000000024</v>
      </c>
      <c r="U20" s="491">
        <f t="shared" si="2"/>
        <v>0</v>
      </c>
      <c r="V20" s="491"/>
      <c r="AC20" s="491"/>
    </row>
    <row r="21" spans="1:29" ht="16.2">
      <c r="A21" s="282" t="s">
        <v>40</v>
      </c>
      <c r="B21" s="409" t="s">
        <v>12</v>
      </c>
      <c r="C21" s="227"/>
      <c r="D21" s="402"/>
      <c r="E21" s="410">
        <f>E22</f>
        <v>1267.3</v>
      </c>
      <c r="F21" s="410">
        <f t="shared" ref="F21" si="19">F22</f>
        <v>1013.3</v>
      </c>
      <c r="G21" s="410">
        <f t="shared" ref="G21:L21" si="20">G22</f>
        <v>0</v>
      </c>
      <c r="H21" s="410">
        <f t="shared" si="20"/>
        <v>280.39999999999998</v>
      </c>
      <c r="I21" s="410">
        <f t="shared" si="20"/>
        <v>219</v>
      </c>
      <c r="J21" s="676">
        <f t="shared" si="20"/>
        <v>219</v>
      </c>
      <c r="K21" s="395">
        <f t="shared" si="6"/>
        <v>78.102710413694737</v>
      </c>
      <c r="L21" s="410">
        <f t="shared" si="20"/>
        <v>280.39999999999998</v>
      </c>
      <c r="M21" s="407">
        <f t="shared" si="1"/>
        <v>100</v>
      </c>
      <c r="N21" s="227"/>
      <c r="O21" s="227"/>
      <c r="P21" s="710"/>
      <c r="Q21" s="255"/>
      <c r="R21" s="255"/>
      <c r="S21" s="255"/>
      <c r="T21" s="397">
        <f t="shared" si="10"/>
        <v>61.399999999999977</v>
      </c>
      <c r="U21" s="491">
        <f t="shared" si="2"/>
        <v>0</v>
      </c>
      <c r="V21" s="491"/>
      <c r="AC21" s="491"/>
    </row>
    <row r="22" spans="1:29" ht="31.2">
      <c r="A22" s="271" t="s">
        <v>35</v>
      </c>
      <c r="B22" s="337" t="s">
        <v>341</v>
      </c>
      <c r="C22" s="227" t="s">
        <v>134</v>
      </c>
      <c r="D22" s="402">
        <v>8027182</v>
      </c>
      <c r="E22" s="404">
        <v>1267.3</v>
      </c>
      <c r="F22" s="405">
        <v>1013.3</v>
      </c>
      <c r="G22" s="406"/>
      <c r="H22" s="679">
        <v>280.39999999999998</v>
      </c>
      <c r="I22" s="334">
        <v>219</v>
      </c>
      <c r="J22" s="503">
        <v>219</v>
      </c>
      <c r="K22" s="407">
        <f t="shared" si="6"/>
        <v>78.102710413694737</v>
      </c>
      <c r="L22" s="733">
        <f>H22</f>
        <v>280.39999999999998</v>
      </c>
      <c r="M22" s="407">
        <f t="shared" si="1"/>
        <v>100</v>
      </c>
      <c r="N22" s="492"/>
      <c r="O22" s="227"/>
      <c r="P22" s="710"/>
      <c r="Q22" s="255">
        <v>1</v>
      </c>
      <c r="R22" s="255">
        <v>1</v>
      </c>
      <c r="S22" s="255">
        <v>1</v>
      </c>
      <c r="T22" s="397">
        <f t="shared" si="10"/>
        <v>61.399999999999977</v>
      </c>
      <c r="U22" s="491">
        <f t="shared" si="2"/>
        <v>0</v>
      </c>
      <c r="V22" s="491"/>
      <c r="AC22" s="491"/>
    </row>
    <row r="23" spans="1:29" s="254" customFormat="1" ht="31.8" customHeight="1">
      <c r="A23" s="263" t="s">
        <v>23</v>
      </c>
      <c r="B23" s="225" t="s">
        <v>166</v>
      </c>
      <c r="C23" s="252"/>
      <c r="D23" s="252"/>
      <c r="E23" s="345">
        <f t="shared" ref="E23:L23" si="21">E24+E85</f>
        <v>167244.78899999999</v>
      </c>
      <c r="F23" s="345">
        <f t="shared" si="21"/>
        <v>144550</v>
      </c>
      <c r="G23" s="345">
        <f t="shared" si="21"/>
        <v>64384</v>
      </c>
      <c r="H23" s="345">
        <f t="shared" si="21"/>
        <v>41166</v>
      </c>
      <c r="I23" s="345">
        <f t="shared" si="21"/>
        <v>32590.019699999997</v>
      </c>
      <c r="J23" s="680">
        <f t="shared" si="21"/>
        <v>32568.8197</v>
      </c>
      <c r="K23" s="395">
        <f t="shared" si="6"/>
        <v>79.115823009279509</v>
      </c>
      <c r="L23" s="411">
        <f t="shared" si="21"/>
        <v>41166</v>
      </c>
      <c r="M23" s="407">
        <f t="shared" si="1"/>
        <v>100</v>
      </c>
      <c r="N23" s="371"/>
      <c r="O23" s="371"/>
      <c r="P23" s="709"/>
      <c r="Q23" s="253"/>
      <c r="R23" s="253"/>
      <c r="S23" s="253"/>
      <c r="T23" s="400">
        <f t="shared" si="10"/>
        <v>8597.1803</v>
      </c>
      <c r="U23" s="491">
        <f t="shared" si="2"/>
        <v>21.19999999999709</v>
      </c>
      <c r="V23" s="491"/>
      <c r="AC23" s="491"/>
    </row>
    <row r="24" spans="1:29" s="254" customFormat="1" ht="46.8">
      <c r="A24" s="280" t="s">
        <v>9</v>
      </c>
      <c r="B24" s="281" t="s">
        <v>186</v>
      </c>
      <c r="C24" s="252"/>
      <c r="D24" s="252"/>
      <c r="E24" s="345">
        <f>E25</f>
        <v>155744.78899999999</v>
      </c>
      <c r="F24" s="345">
        <f>F25</f>
        <v>133050</v>
      </c>
      <c r="G24" s="345">
        <f t="shared" ref="G24:L24" si="22">G25</f>
        <v>59450</v>
      </c>
      <c r="H24" s="345">
        <f t="shared" si="22"/>
        <v>37600</v>
      </c>
      <c r="I24" s="345">
        <f t="shared" si="22"/>
        <v>29593.138699999996</v>
      </c>
      <c r="J24" s="680">
        <f t="shared" si="22"/>
        <v>29571.938699999999</v>
      </c>
      <c r="K24" s="395">
        <f t="shared" si="6"/>
        <v>78.648773138297869</v>
      </c>
      <c r="L24" s="411">
        <f t="shared" si="22"/>
        <v>37600</v>
      </c>
      <c r="M24" s="407">
        <f t="shared" si="1"/>
        <v>100</v>
      </c>
      <c r="N24" s="372"/>
      <c r="O24" s="372"/>
      <c r="P24" s="709"/>
      <c r="Q24" s="253"/>
      <c r="R24" s="253"/>
      <c r="S24" s="253"/>
      <c r="T24" s="400">
        <f t="shared" si="10"/>
        <v>8028.0613000000012</v>
      </c>
      <c r="U24" s="491">
        <f t="shared" si="2"/>
        <v>21.19999999999709</v>
      </c>
      <c r="V24" s="491"/>
      <c r="AC24" s="491"/>
    </row>
    <row r="25" spans="1:29" s="254" customFormat="1" ht="64.8">
      <c r="A25" s="282" t="s">
        <v>11</v>
      </c>
      <c r="B25" s="283" t="s">
        <v>187</v>
      </c>
      <c r="C25" s="252"/>
      <c r="D25" s="252"/>
      <c r="E25" s="412">
        <f>E26+E68</f>
        <v>155744.78899999999</v>
      </c>
      <c r="F25" s="412">
        <f>F26+F68</f>
        <v>133050</v>
      </c>
      <c r="G25" s="412">
        <f t="shared" ref="G25:L25" si="23">G26+G68</f>
        <v>59450</v>
      </c>
      <c r="H25" s="412">
        <f t="shared" si="23"/>
        <v>37600</v>
      </c>
      <c r="I25" s="412">
        <f t="shared" si="23"/>
        <v>29593.138699999996</v>
      </c>
      <c r="J25" s="681">
        <f t="shared" si="23"/>
        <v>29571.938699999999</v>
      </c>
      <c r="K25" s="395">
        <f t="shared" si="6"/>
        <v>78.648773138297869</v>
      </c>
      <c r="L25" s="410">
        <f t="shared" si="23"/>
        <v>37600</v>
      </c>
      <c r="M25" s="407">
        <f t="shared" si="1"/>
        <v>100</v>
      </c>
      <c r="N25" s="413">
        <f>SUM(N27:N67)</f>
        <v>0</v>
      </c>
      <c r="O25" s="413"/>
      <c r="P25" s="709"/>
      <c r="Q25" s="263">
        <f>SUM(Q27:Q89)</f>
        <v>59</v>
      </c>
      <c r="R25" s="263">
        <f>SUM(R27:R89)</f>
        <v>16</v>
      </c>
      <c r="S25" s="263">
        <f>SUM(S27:S89)</f>
        <v>7</v>
      </c>
      <c r="T25" s="400">
        <f t="shared" si="10"/>
        <v>8028.0613000000012</v>
      </c>
      <c r="U25" s="491">
        <f t="shared" si="2"/>
        <v>21.19999999999709</v>
      </c>
      <c r="V25" s="491"/>
      <c r="AC25" s="491"/>
    </row>
    <row r="26" spans="1:29" s="254" customFormat="1" ht="16.2">
      <c r="A26" s="282" t="s">
        <v>39</v>
      </c>
      <c r="B26" s="401" t="s">
        <v>337</v>
      </c>
      <c r="C26" s="252"/>
      <c r="D26" s="252"/>
      <c r="E26" s="412">
        <f>SUM(E27:E67)</f>
        <v>128794.789</v>
      </c>
      <c r="F26" s="412">
        <f>SUM(F27:F67)</f>
        <v>106850</v>
      </c>
      <c r="G26" s="412">
        <f t="shared" ref="G26:L26" si="24">SUM(G27:G67)</f>
        <v>58124.156999999999</v>
      </c>
      <c r="H26" s="412">
        <f t="shared" si="24"/>
        <v>26773.157999999996</v>
      </c>
      <c r="I26" s="412">
        <f t="shared" si="24"/>
        <v>19068.180999999997</v>
      </c>
      <c r="J26" s="681">
        <f t="shared" si="24"/>
        <v>19068.180999999997</v>
      </c>
      <c r="K26" s="395">
        <f t="shared" si="6"/>
        <v>71.221261981870057</v>
      </c>
      <c r="L26" s="410">
        <f t="shared" si="24"/>
        <v>26773.157999999996</v>
      </c>
      <c r="M26" s="407">
        <f t="shared" si="1"/>
        <v>100</v>
      </c>
      <c r="N26" s="413"/>
      <c r="O26" s="413"/>
      <c r="P26" s="709"/>
      <c r="Q26" s="263"/>
      <c r="R26" s="263"/>
      <c r="S26" s="263"/>
      <c r="T26" s="400"/>
      <c r="U26" s="491">
        <f t="shared" si="2"/>
        <v>0</v>
      </c>
      <c r="V26" s="491"/>
      <c r="AC26" s="491"/>
    </row>
    <row r="27" spans="1:29" ht="62.4" customHeight="1">
      <c r="A27" s="284">
        <v>1</v>
      </c>
      <c r="B27" s="285" t="s">
        <v>188</v>
      </c>
      <c r="C27" s="414" t="s">
        <v>532</v>
      </c>
      <c r="D27" s="402">
        <v>7988830</v>
      </c>
      <c r="E27" s="415">
        <v>3260</v>
      </c>
      <c r="F27" s="415">
        <v>3260</v>
      </c>
      <c r="G27" s="334">
        <v>2800</v>
      </c>
      <c r="H27" s="415">
        <v>145.16800000000001</v>
      </c>
      <c r="I27" s="334">
        <f>J27</f>
        <v>4.8449999999999998</v>
      </c>
      <c r="J27" s="503">
        <v>4.8449999999999998</v>
      </c>
      <c r="K27" s="407">
        <f t="shared" si="6"/>
        <v>3.3375123994268709</v>
      </c>
      <c r="L27" s="733">
        <f t="shared" ref="L27:L67" si="25">H27</f>
        <v>145.16800000000001</v>
      </c>
      <c r="M27" s="407">
        <f t="shared" si="1"/>
        <v>100</v>
      </c>
      <c r="N27" s="416"/>
      <c r="O27" s="447">
        <v>1</v>
      </c>
      <c r="P27" s="711" t="s">
        <v>636</v>
      </c>
      <c r="Q27" s="255">
        <v>1</v>
      </c>
      <c r="R27" s="255"/>
      <c r="S27" s="255"/>
      <c r="T27" s="397">
        <f t="shared" ref="T27:T58" si="26">H27-J27</f>
        <v>140.32300000000001</v>
      </c>
      <c r="U27" s="491">
        <f t="shared" si="2"/>
        <v>0</v>
      </c>
      <c r="V27" s="491"/>
      <c r="AC27" s="491"/>
    </row>
    <row r="28" spans="1:29" ht="31.2">
      <c r="A28" s="284">
        <f>A27+1</f>
        <v>2</v>
      </c>
      <c r="B28" s="285" t="s">
        <v>189</v>
      </c>
      <c r="C28" s="414" t="s">
        <v>175</v>
      </c>
      <c r="D28" s="402">
        <v>7999808</v>
      </c>
      <c r="E28" s="415">
        <v>3000</v>
      </c>
      <c r="F28" s="415">
        <v>3000</v>
      </c>
      <c r="G28" s="334">
        <v>2000</v>
      </c>
      <c r="H28" s="415">
        <v>1000</v>
      </c>
      <c r="I28" s="334">
        <f t="shared" ref="I28:I33" si="27">J28</f>
        <v>871.05700000000002</v>
      </c>
      <c r="J28" s="503">
        <v>871.05700000000002</v>
      </c>
      <c r="K28" s="407">
        <f t="shared" si="6"/>
        <v>87.105699999999999</v>
      </c>
      <c r="L28" s="733">
        <f t="shared" si="25"/>
        <v>1000</v>
      </c>
      <c r="M28" s="407">
        <f t="shared" si="1"/>
        <v>100</v>
      </c>
      <c r="N28" s="408"/>
      <c r="O28" s="448">
        <v>1</v>
      </c>
      <c r="P28" s="712"/>
      <c r="Q28" s="255">
        <v>1</v>
      </c>
      <c r="R28" s="255"/>
      <c r="S28" s="256"/>
      <c r="T28" s="397">
        <f t="shared" si="26"/>
        <v>128.94299999999998</v>
      </c>
      <c r="U28" s="491">
        <f t="shared" si="2"/>
        <v>0</v>
      </c>
      <c r="V28" s="491"/>
      <c r="AC28" s="491"/>
    </row>
    <row r="29" spans="1:29" ht="31.2">
      <c r="A29" s="284">
        <f t="shared" ref="A29:A67" si="28">A28+1</f>
        <v>3</v>
      </c>
      <c r="B29" s="285" t="s">
        <v>190</v>
      </c>
      <c r="C29" s="414" t="s">
        <v>532</v>
      </c>
      <c r="D29" s="402">
        <v>8000340</v>
      </c>
      <c r="E29" s="415">
        <v>1364</v>
      </c>
      <c r="F29" s="415">
        <v>1500</v>
      </c>
      <c r="G29" s="334">
        <v>1000</v>
      </c>
      <c r="H29" s="415">
        <v>343.79599999999999</v>
      </c>
      <c r="I29" s="334">
        <f t="shared" si="27"/>
        <v>331.65100000000001</v>
      </c>
      <c r="J29" s="503">
        <v>331.65100000000001</v>
      </c>
      <c r="K29" s="407">
        <f t="shared" si="6"/>
        <v>96.467381819451077</v>
      </c>
      <c r="L29" s="733">
        <f t="shared" si="25"/>
        <v>343.79599999999999</v>
      </c>
      <c r="M29" s="407">
        <f t="shared" si="1"/>
        <v>100</v>
      </c>
      <c r="N29" s="416"/>
      <c r="O29" s="416"/>
      <c r="P29" s="711" t="s">
        <v>558</v>
      </c>
      <c r="Q29" s="255">
        <v>1</v>
      </c>
      <c r="R29" s="255"/>
      <c r="S29" s="255"/>
      <c r="T29" s="397">
        <f t="shared" si="26"/>
        <v>12.144999999999982</v>
      </c>
      <c r="U29" s="491">
        <f t="shared" si="2"/>
        <v>0</v>
      </c>
      <c r="V29" s="491"/>
      <c r="AC29" s="491"/>
    </row>
    <row r="30" spans="1:29" ht="31.2">
      <c r="A30" s="284">
        <f t="shared" si="28"/>
        <v>4</v>
      </c>
      <c r="B30" s="285" t="s">
        <v>312</v>
      </c>
      <c r="C30" s="414" t="s">
        <v>532</v>
      </c>
      <c r="D30" s="402">
        <v>8006002</v>
      </c>
      <c r="E30" s="415">
        <v>1837</v>
      </c>
      <c r="F30" s="415">
        <v>1837</v>
      </c>
      <c r="G30" s="334">
        <v>1200</v>
      </c>
      <c r="H30" s="415">
        <v>512.39700000000005</v>
      </c>
      <c r="I30" s="334">
        <f t="shared" si="27"/>
        <v>0.89500000000000002</v>
      </c>
      <c r="J30" s="503">
        <v>0.89500000000000002</v>
      </c>
      <c r="K30" s="407">
        <f t="shared" si="6"/>
        <v>0.17466925060060848</v>
      </c>
      <c r="L30" s="733">
        <f t="shared" si="25"/>
        <v>512.39700000000005</v>
      </c>
      <c r="M30" s="407">
        <f t="shared" si="1"/>
        <v>100</v>
      </c>
      <c r="N30" s="416"/>
      <c r="O30" s="416"/>
      <c r="P30" s="711" t="s">
        <v>558</v>
      </c>
      <c r="Q30" s="255">
        <v>1</v>
      </c>
      <c r="R30" s="255"/>
      <c r="S30" s="255"/>
      <c r="T30" s="397">
        <f t="shared" si="26"/>
        <v>511.50200000000007</v>
      </c>
      <c r="U30" s="491">
        <f t="shared" si="2"/>
        <v>0</v>
      </c>
      <c r="V30" s="491"/>
      <c r="AC30" s="491"/>
    </row>
    <row r="31" spans="1:29" ht="31.2">
      <c r="A31" s="284">
        <f t="shared" si="28"/>
        <v>5</v>
      </c>
      <c r="B31" s="285" t="s">
        <v>191</v>
      </c>
      <c r="C31" s="414" t="s">
        <v>532</v>
      </c>
      <c r="D31" s="402">
        <v>8003784</v>
      </c>
      <c r="E31" s="415">
        <v>1560</v>
      </c>
      <c r="F31" s="415">
        <v>1560</v>
      </c>
      <c r="G31" s="334">
        <v>800</v>
      </c>
      <c r="H31" s="415">
        <f>670.512-11.256</f>
        <v>659.25599999999997</v>
      </c>
      <c r="I31" s="334">
        <f t="shared" si="27"/>
        <v>619.53</v>
      </c>
      <c r="J31" s="503">
        <v>619.53</v>
      </c>
      <c r="K31" s="407">
        <f t="shared" si="6"/>
        <v>93.974116276529912</v>
      </c>
      <c r="L31" s="733">
        <f t="shared" si="25"/>
        <v>659.25599999999997</v>
      </c>
      <c r="M31" s="407">
        <f t="shared" si="1"/>
        <v>100</v>
      </c>
      <c r="N31" s="416"/>
      <c r="O31" s="416"/>
      <c r="P31" s="713" t="s">
        <v>636</v>
      </c>
      <c r="Q31" s="255">
        <v>1</v>
      </c>
      <c r="R31" s="255"/>
      <c r="S31" s="255"/>
      <c r="T31" s="397">
        <f t="shared" si="26"/>
        <v>39.725999999999999</v>
      </c>
      <c r="U31" s="491">
        <f t="shared" si="2"/>
        <v>0</v>
      </c>
      <c r="V31" s="491"/>
      <c r="AC31" s="491"/>
    </row>
    <row r="32" spans="1:29" ht="31.2">
      <c r="A32" s="284">
        <f t="shared" si="28"/>
        <v>6</v>
      </c>
      <c r="B32" s="286" t="s">
        <v>192</v>
      </c>
      <c r="C32" s="414" t="s">
        <v>532</v>
      </c>
      <c r="D32" s="402">
        <v>8007053</v>
      </c>
      <c r="E32" s="415">
        <v>1000</v>
      </c>
      <c r="F32" s="415">
        <v>1000</v>
      </c>
      <c r="G32" s="334">
        <v>800</v>
      </c>
      <c r="H32" s="415">
        <f>167.414-83.542</f>
        <v>83.871999999999986</v>
      </c>
      <c r="I32" s="334">
        <f t="shared" si="27"/>
        <v>48.692</v>
      </c>
      <c r="J32" s="503">
        <v>48.692</v>
      </c>
      <c r="K32" s="407">
        <f t="shared" si="6"/>
        <v>58.055131629149194</v>
      </c>
      <c r="L32" s="733">
        <f t="shared" si="25"/>
        <v>83.871999999999986</v>
      </c>
      <c r="M32" s="407">
        <f t="shared" si="1"/>
        <v>100</v>
      </c>
      <c r="N32" s="416"/>
      <c r="O32" s="449">
        <v>1</v>
      </c>
      <c r="P32" s="713" t="s">
        <v>636</v>
      </c>
      <c r="Q32" s="255">
        <v>1</v>
      </c>
      <c r="R32" s="255"/>
      <c r="S32" s="255"/>
      <c r="T32" s="397">
        <f t="shared" si="26"/>
        <v>35.179999999999986</v>
      </c>
      <c r="U32" s="491">
        <f t="shared" si="2"/>
        <v>0</v>
      </c>
      <c r="V32" s="491"/>
      <c r="AC32" s="491"/>
    </row>
    <row r="33" spans="1:29" ht="31.2">
      <c r="A33" s="284">
        <f t="shared" si="28"/>
        <v>7</v>
      </c>
      <c r="B33" s="286" t="s">
        <v>193</v>
      </c>
      <c r="C33" s="414" t="s">
        <v>532</v>
      </c>
      <c r="D33" s="402">
        <v>8007261</v>
      </c>
      <c r="E33" s="415">
        <v>1000</v>
      </c>
      <c r="F33" s="415">
        <v>1000</v>
      </c>
      <c r="G33" s="334">
        <v>800</v>
      </c>
      <c r="H33" s="415">
        <v>182.41200000000001</v>
      </c>
      <c r="I33" s="334">
        <f t="shared" si="27"/>
        <v>173.45500000000001</v>
      </c>
      <c r="J33" s="503">
        <v>173.45500000000001</v>
      </c>
      <c r="K33" s="407">
        <f t="shared" si="6"/>
        <v>95.08968708199022</v>
      </c>
      <c r="L33" s="733">
        <f t="shared" si="25"/>
        <v>182.41200000000001</v>
      </c>
      <c r="M33" s="407">
        <f t="shared" si="1"/>
        <v>100</v>
      </c>
      <c r="N33" s="416"/>
      <c r="O33" s="449">
        <v>1</v>
      </c>
      <c r="P33" s="713" t="s">
        <v>558</v>
      </c>
      <c r="Q33" s="255">
        <v>1</v>
      </c>
      <c r="R33" s="255"/>
      <c r="S33" s="255"/>
      <c r="T33" s="397">
        <f t="shared" si="26"/>
        <v>8.9569999999999936</v>
      </c>
      <c r="U33" s="491">
        <f t="shared" si="2"/>
        <v>0</v>
      </c>
      <c r="V33" s="491"/>
      <c r="AC33" s="491"/>
    </row>
    <row r="34" spans="1:29" ht="31.2">
      <c r="A34" s="284">
        <f t="shared" si="28"/>
        <v>8</v>
      </c>
      <c r="B34" s="286" t="s">
        <v>194</v>
      </c>
      <c r="C34" s="414" t="s">
        <v>532</v>
      </c>
      <c r="D34" s="402">
        <v>7995872</v>
      </c>
      <c r="E34" s="334">
        <v>2298</v>
      </c>
      <c r="F34" s="415">
        <v>2298</v>
      </c>
      <c r="G34" s="334">
        <v>800</v>
      </c>
      <c r="H34" s="415">
        <v>1472.346</v>
      </c>
      <c r="I34" s="334">
        <f>J34</f>
        <v>1391.1679999999999</v>
      </c>
      <c r="J34" s="503">
        <v>1391.1679999999999</v>
      </c>
      <c r="K34" s="407">
        <f t="shared" si="6"/>
        <v>94.486486192783474</v>
      </c>
      <c r="L34" s="733">
        <f t="shared" si="25"/>
        <v>1472.346</v>
      </c>
      <c r="M34" s="407">
        <f t="shared" si="1"/>
        <v>100</v>
      </c>
      <c r="N34" s="416"/>
      <c r="O34" s="449">
        <v>1</v>
      </c>
      <c r="P34" s="713" t="s">
        <v>558</v>
      </c>
      <c r="Q34" s="255">
        <v>1</v>
      </c>
      <c r="R34" s="255"/>
      <c r="S34" s="255"/>
      <c r="T34" s="397">
        <f t="shared" si="26"/>
        <v>81.178000000000111</v>
      </c>
      <c r="U34" s="491">
        <f t="shared" si="2"/>
        <v>0</v>
      </c>
      <c r="V34" s="491"/>
      <c r="AC34" s="491"/>
    </row>
    <row r="35" spans="1:29" ht="31.2">
      <c r="A35" s="284">
        <f t="shared" si="28"/>
        <v>9</v>
      </c>
      <c r="B35" s="285" t="s">
        <v>309</v>
      </c>
      <c r="C35" s="414" t="s">
        <v>179</v>
      </c>
      <c r="D35" s="402">
        <v>8006659</v>
      </c>
      <c r="E35" s="334">
        <v>2500</v>
      </c>
      <c r="F35" s="415">
        <v>2500</v>
      </c>
      <c r="G35" s="334">
        <v>2000</v>
      </c>
      <c r="H35" s="415">
        <v>500</v>
      </c>
      <c r="I35" s="334">
        <v>304.62700000000001</v>
      </c>
      <c r="J35" s="503">
        <v>304.62700000000001</v>
      </c>
      <c r="K35" s="407">
        <f t="shared" si="6"/>
        <v>60.92540000000001</v>
      </c>
      <c r="L35" s="733">
        <f t="shared" si="25"/>
        <v>500</v>
      </c>
      <c r="M35" s="407">
        <f t="shared" si="1"/>
        <v>100</v>
      </c>
      <c r="N35" s="416"/>
      <c r="O35" s="449">
        <v>1</v>
      </c>
      <c r="P35" s="714"/>
      <c r="Q35" s="255">
        <v>1</v>
      </c>
      <c r="R35" s="255"/>
      <c r="S35" s="255"/>
      <c r="T35" s="397">
        <f t="shared" si="26"/>
        <v>195.37299999999999</v>
      </c>
      <c r="U35" s="491">
        <f t="shared" si="2"/>
        <v>0</v>
      </c>
      <c r="V35" s="491"/>
      <c r="AC35" s="491"/>
    </row>
    <row r="36" spans="1:29" ht="31.2">
      <c r="A36" s="284">
        <f t="shared" si="28"/>
        <v>10</v>
      </c>
      <c r="B36" s="286" t="s">
        <v>195</v>
      </c>
      <c r="C36" s="414" t="s">
        <v>532</v>
      </c>
      <c r="D36" s="402">
        <v>8000342</v>
      </c>
      <c r="E36" s="334">
        <v>1718</v>
      </c>
      <c r="F36" s="415">
        <v>1718</v>
      </c>
      <c r="G36" s="334">
        <v>1300</v>
      </c>
      <c r="H36" s="415">
        <v>308.06400000000002</v>
      </c>
      <c r="I36" s="334"/>
      <c r="J36" s="503"/>
      <c r="K36" s="407">
        <f t="shared" si="6"/>
        <v>0</v>
      </c>
      <c r="L36" s="733">
        <f t="shared" si="25"/>
        <v>308.06400000000002</v>
      </c>
      <c r="M36" s="407">
        <f t="shared" si="1"/>
        <v>100</v>
      </c>
      <c r="N36" s="416"/>
      <c r="O36" s="416"/>
      <c r="P36" s="713" t="s">
        <v>558</v>
      </c>
      <c r="Q36" s="255">
        <v>1</v>
      </c>
      <c r="R36" s="255"/>
      <c r="S36" s="255"/>
      <c r="T36" s="397">
        <f t="shared" si="26"/>
        <v>308.06400000000002</v>
      </c>
      <c r="U36" s="491">
        <f t="shared" si="2"/>
        <v>0</v>
      </c>
      <c r="V36" s="491"/>
      <c r="AC36" s="491"/>
    </row>
    <row r="37" spans="1:29" ht="46.8">
      <c r="A37" s="284">
        <f t="shared" si="28"/>
        <v>11</v>
      </c>
      <c r="B37" s="285" t="s">
        <v>196</v>
      </c>
      <c r="C37" s="414" t="s">
        <v>174</v>
      </c>
      <c r="D37" s="402">
        <v>7990599</v>
      </c>
      <c r="E37" s="334">
        <v>2000</v>
      </c>
      <c r="F37" s="415">
        <v>2000</v>
      </c>
      <c r="G37" s="334">
        <v>1500</v>
      </c>
      <c r="H37" s="415">
        <v>500</v>
      </c>
      <c r="I37" s="334">
        <f t="shared" ref="I37:I43" si="29">J37</f>
        <v>414.32900000000001</v>
      </c>
      <c r="J37" s="503">
        <v>414.32900000000001</v>
      </c>
      <c r="K37" s="407">
        <f t="shared" si="6"/>
        <v>82.865800000000007</v>
      </c>
      <c r="L37" s="733">
        <f t="shared" si="25"/>
        <v>500</v>
      </c>
      <c r="M37" s="407">
        <f t="shared" si="1"/>
        <v>100</v>
      </c>
      <c r="N37" s="417"/>
      <c r="O37" s="450">
        <v>1</v>
      </c>
      <c r="P37" s="714"/>
      <c r="Q37" s="255">
        <v>1</v>
      </c>
      <c r="R37" s="255"/>
      <c r="S37" s="255"/>
      <c r="T37" s="397">
        <f t="shared" si="26"/>
        <v>85.670999999999992</v>
      </c>
      <c r="U37" s="491">
        <f t="shared" si="2"/>
        <v>0</v>
      </c>
      <c r="V37" s="491"/>
      <c r="AC37" s="491"/>
    </row>
    <row r="38" spans="1:29">
      <c r="A38" s="284">
        <f t="shared" si="28"/>
        <v>12</v>
      </c>
      <c r="B38" s="285" t="s">
        <v>197</v>
      </c>
      <c r="C38" s="414" t="s">
        <v>174</v>
      </c>
      <c r="D38" s="402">
        <v>7991259</v>
      </c>
      <c r="E38" s="334">
        <v>1500</v>
      </c>
      <c r="F38" s="415">
        <v>1500</v>
      </c>
      <c r="G38" s="334">
        <v>1200</v>
      </c>
      <c r="H38" s="415">
        <v>300</v>
      </c>
      <c r="I38" s="334">
        <f t="shared" si="29"/>
        <v>235.73</v>
      </c>
      <c r="J38" s="503">
        <v>235.73</v>
      </c>
      <c r="K38" s="407">
        <f t="shared" si="6"/>
        <v>78.576666666666668</v>
      </c>
      <c r="L38" s="733">
        <f t="shared" si="25"/>
        <v>300</v>
      </c>
      <c r="M38" s="407">
        <f t="shared" si="1"/>
        <v>100</v>
      </c>
      <c r="N38" s="417"/>
      <c r="O38" s="450">
        <v>1</v>
      </c>
      <c r="P38" s="710"/>
      <c r="Q38" s="255">
        <v>1</v>
      </c>
      <c r="R38" s="255"/>
      <c r="S38" s="255"/>
      <c r="T38" s="397">
        <f t="shared" si="26"/>
        <v>64.27000000000001</v>
      </c>
      <c r="U38" s="491">
        <f t="shared" si="2"/>
        <v>0</v>
      </c>
      <c r="V38" s="491"/>
      <c r="AC38" s="491"/>
    </row>
    <row r="39" spans="1:29" ht="31.2">
      <c r="A39" s="284">
        <f t="shared" si="28"/>
        <v>13</v>
      </c>
      <c r="B39" s="285" t="s">
        <v>198</v>
      </c>
      <c r="C39" s="414" t="s">
        <v>532</v>
      </c>
      <c r="D39" s="402">
        <v>8000355</v>
      </c>
      <c r="E39" s="334">
        <v>2360</v>
      </c>
      <c r="F39" s="415">
        <v>2360</v>
      </c>
      <c r="G39" s="334">
        <v>1000</v>
      </c>
      <c r="H39" s="415">
        <v>1269.384</v>
      </c>
      <c r="I39" s="334">
        <f t="shared" si="29"/>
        <v>1252.048</v>
      </c>
      <c r="J39" s="503">
        <v>1252.048</v>
      </c>
      <c r="K39" s="407">
        <f t="shared" si="6"/>
        <v>98.634298210785701</v>
      </c>
      <c r="L39" s="733">
        <f t="shared" si="25"/>
        <v>1269.384</v>
      </c>
      <c r="M39" s="407">
        <f t="shared" si="1"/>
        <v>100</v>
      </c>
      <c r="N39" s="416"/>
      <c r="O39" s="449">
        <v>1</v>
      </c>
      <c r="P39" s="713" t="s">
        <v>558</v>
      </c>
      <c r="Q39" s="255">
        <v>1</v>
      </c>
      <c r="R39" s="255"/>
      <c r="S39" s="255"/>
      <c r="T39" s="397">
        <f t="shared" si="26"/>
        <v>17.336000000000013</v>
      </c>
      <c r="U39" s="491">
        <f t="shared" si="2"/>
        <v>0</v>
      </c>
      <c r="V39" s="491"/>
      <c r="AC39" s="491"/>
    </row>
    <row r="40" spans="1:29" ht="31.2">
      <c r="A40" s="284">
        <f t="shared" si="28"/>
        <v>14</v>
      </c>
      <c r="B40" s="285" t="s">
        <v>199</v>
      </c>
      <c r="C40" s="414" t="s">
        <v>532</v>
      </c>
      <c r="D40" s="402">
        <v>7988829</v>
      </c>
      <c r="E40" s="334">
        <v>4000</v>
      </c>
      <c r="F40" s="415">
        <v>4000</v>
      </c>
      <c r="G40" s="334">
        <v>1700</v>
      </c>
      <c r="H40" s="415">
        <v>2169.4769999999999</v>
      </c>
      <c r="I40" s="334">
        <f t="shared" si="29"/>
        <v>2147.5450000000001</v>
      </c>
      <c r="J40" s="503">
        <v>2147.5450000000001</v>
      </c>
      <c r="K40" s="407">
        <f t="shared" si="6"/>
        <v>98.989065106474982</v>
      </c>
      <c r="L40" s="733">
        <f t="shared" si="25"/>
        <v>2169.4769999999999</v>
      </c>
      <c r="M40" s="407">
        <f t="shared" si="1"/>
        <v>100</v>
      </c>
      <c r="N40" s="416"/>
      <c r="O40" s="449">
        <v>1</v>
      </c>
      <c r="P40" s="713" t="s">
        <v>558</v>
      </c>
      <c r="Q40" s="255">
        <v>1</v>
      </c>
      <c r="R40" s="255"/>
      <c r="S40" s="255"/>
      <c r="T40" s="397">
        <f t="shared" si="26"/>
        <v>21.931999999999789</v>
      </c>
      <c r="U40" s="491">
        <f t="shared" si="2"/>
        <v>0</v>
      </c>
      <c r="V40" s="491"/>
      <c r="AC40" s="491"/>
    </row>
    <row r="41" spans="1:29" ht="31.2">
      <c r="A41" s="284">
        <f t="shared" si="28"/>
        <v>15</v>
      </c>
      <c r="B41" s="285" t="s">
        <v>200</v>
      </c>
      <c r="C41" s="414" t="s">
        <v>532</v>
      </c>
      <c r="D41" s="402">
        <v>7999814</v>
      </c>
      <c r="E41" s="334">
        <v>2147</v>
      </c>
      <c r="F41" s="415">
        <v>2147</v>
      </c>
      <c r="G41" s="334">
        <v>1200</v>
      </c>
      <c r="H41" s="415">
        <v>841.92600000000004</v>
      </c>
      <c r="I41" s="334">
        <f t="shared" si="29"/>
        <v>826.56500000000005</v>
      </c>
      <c r="J41" s="503">
        <v>826.56500000000005</v>
      </c>
      <c r="K41" s="407">
        <f t="shared" si="6"/>
        <v>98.175492858042162</v>
      </c>
      <c r="L41" s="733">
        <f t="shared" si="25"/>
        <v>841.92600000000004</v>
      </c>
      <c r="M41" s="407">
        <f t="shared" si="1"/>
        <v>100</v>
      </c>
      <c r="N41" s="416"/>
      <c r="O41" s="416"/>
      <c r="P41" s="713" t="s">
        <v>558</v>
      </c>
      <c r="Q41" s="255">
        <v>1</v>
      </c>
      <c r="R41" s="255"/>
      <c r="S41" s="255"/>
      <c r="T41" s="397">
        <f t="shared" si="26"/>
        <v>15.36099999999999</v>
      </c>
      <c r="U41" s="491">
        <f t="shared" si="2"/>
        <v>0</v>
      </c>
      <c r="V41" s="491"/>
      <c r="AC41" s="491"/>
    </row>
    <row r="42" spans="1:29" ht="31.2">
      <c r="A42" s="284">
        <f t="shared" si="28"/>
        <v>16</v>
      </c>
      <c r="B42" s="286" t="s">
        <v>201</v>
      </c>
      <c r="C42" s="414" t="s">
        <v>532</v>
      </c>
      <c r="D42" s="402">
        <v>8004525</v>
      </c>
      <c r="E42" s="334">
        <v>1500</v>
      </c>
      <c r="F42" s="415">
        <v>1500</v>
      </c>
      <c r="G42" s="334">
        <v>1400</v>
      </c>
      <c r="H42" s="415">
        <v>66.048000000000002</v>
      </c>
      <c r="I42" s="334">
        <f t="shared" si="29"/>
        <v>18.417999999999999</v>
      </c>
      <c r="J42" s="503">
        <v>18.417999999999999</v>
      </c>
      <c r="K42" s="407">
        <f t="shared" si="6"/>
        <v>27.885780038759687</v>
      </c>
      <c r="L42" s="733">
        <f t="shared" si="25"/>
        <v>66.048000000000002</v>
      </c>
      <c r="M42" s="407">
        <f t="shared" si="1"/>
        <v>100</v>
      </c>
      <c r="N42" s="416"/>
      <c r="O42" s="416"/>
      <c r="P42" s="713" t="s">
        <v>558</v>
      </c>
      <c r="Q42" s="255">
        <v>1</v>
      </c>
      <c r="R42" s="255"/>
      <c r="S42" s="255"/>
      <c r="T42" s="397">
        <f t="shared" si="26"/>
        <v>47.63</v>
      </c>
      <c r="U42" s="491">
        <f t="shared" si="2"/>
        <v>0</v>
      </c>
      <c r="V42" s="491"/>
      <c r="AC42" s="491"/>
    </row>
    <row r="43" spans="1:29" ht="31.2">
      <c r="A43" s="284">
        <f t="shared" si="28"/>
        <v>17</v>
      </c>
      <c r="B43" s="276" t="s">
        <v>202</v>
      </c>
      <c r="C43" s="414" t="s">
        <v>532</v>
      </c>
      <c r="D43" s="402">
        <v>7991243</v>
      </c>
      <c r="E43" s="334">
        <v>4349</v>
      </c>
      <c r="F43" s="415">
        <v>4349</v>
      </c>
      <c r="G43" s="334">
        <f>2000+566.48</f>
        <v>2566.48</v>
      </c>
      <c r="H43" s="415">
        <v>1591.8119999999999</v>
      </c>
      <c r="I43" s="334">
        <f t="shared" si="29"/>
        <v>1568.2429999999999</v>
      </c>
      <c r="J43" s="503">
        <v>1568.2429999999999</v>
      </c>
      <c r="K43" s="407">
        <f t="shared" si="6"/>
        <v>98.519360326470718</v>
      </c>
      <c r="L43" s="733">
        <f t="shared" si="25"/>
        <v>1591.8119999999999</v>
      </c>
      <c r="M43" s="407">
        <f t="shared" si="1"/>
        <v>100</v>
      </c>
      <c r="N43" s="416"/>
      <c r="O43" s="416"/>
      <c r="P43" s="713" t="s">
        <v>558</v>
      </c>
      <c r="Q43" s="255">
        <v>1</v>
      </c>
      <c r="R43" s="255"/>
      <c r="S43" s="255"/>
      <c r="T43" s="397">
        <f t="shared" si="26"/>
        <v>23.56899999999996</v>
      </c>
      <c r="U43" s="491">
        <f t="shared" si="2"/>
        <v>0</v>
      </c>
      <c r="V43" s="491"/>
      <c r="AC43" s="491"/>
    </row>
    <row r="44" spans="1:29" ht="49.2" customHeight="1">
      <c r="A44" s="284">
        <f t="shared" si="28"/>
        <v>18</v>
      </c>
      <c r="B44" s="285" t="s">
        <v>203</v>
      </c>
      <c r="C44" s="414" t="s">
        <v>532</v>
      </c>
      <c r="D44" s="402">
        <v>7995128</v>
      </c>
      <c r="E44" s="334">
        <v>4710</v>
      </c>
      <c r="F44" s="415">
        <v>4710</v>
      </c>
      <c r="G44" s="334">
        <f>1750-100</f>
        <v>1650</v>
      </c>
      <c r="H44" s="415">
        <v>0</v>
      </c>
      <c r="I44" s="334"/>
      <c r="J44" s="503"/>
      <c r="K44" s="407">
        <v>0</v>
      </c>
      <c r="L44" s="733">
        <f t="shared" si="25"/>
        <v>0</v>
      </c>
      <c r="M44" s="407"/>
      <c r="N44" s="436"/>
      <c r="O44" s="449">
        <v>1</v>
      </c>
      <c r="P44" s="713" t="s">
        <v>558</v>
      </c>
      <c r="Q44" s="255">
        <v>1</v>
      </c>
      <c r="R44" s="255"/>
      <c r="S44" s="255"/>
      <c r="T44" s="397">
        <f t="shared" si="26"/>
        <v>0</v>
      </c>
      <c r="U44" s="491">
        <f t="shared" si="2"/>
        <v>0</v>
      </c>
      <c r="V44" s="491"/>
      <c r="AC44" s="491"/>
    </row>
    <row r="45" spans="1:29" ht="46.8">
      <c r="A45" s="284">
        <f t="shared" si="28"/>
        <v>19</v>
      </c>
      <c r="B45" s="285" t="s">
        <v>204</v>
      </c>
      <c r="C45" s="414" t="s">
        <v>532</v>
      </c>
      <c r="D45" s="402">
        <v>7991244</v>
      </c>
      <c r="E45" s="334">
        <v>2336</v>
      </c>
      <c r="F45" s="415">
        <v>2336</v>
      </c>
      <c r="G45" s="334">
        <f>400-214.687</f>
        <v>185.31299999999999</v>
      </c>
      <c r="H45" s="415">
        <v>0</v>
      </c>
      <c r="I45" s="334"/>
      <c r="J45" s="503"/>
      <c r="K45" s="407">
        <v>0</v>
      </c>
      <c r="L45" s="733">
        <f t="shared" si="25"/>
        <v>0</v>
      </c>
      <c r="M45" s="407"/>
      <c r="N45" s="436"/>
      <c r="O45" s="449">
        <v>1</v>
      </c>
      <c r="P45" s="713" t="s">
        <v>558</v>
      </c>
      <c r="Q45" s="255">
        <v>1</v>
      </c>
      <c r="R45" s="255"/>
      <c r="S45" s="255"/>
      <c r="T45" s="397">
        <f t="shared" si="26"/>
        <v>0</v>
      </c>
      <c r="U45" s="491">
        <f t="shared" si="2"/>
        <v>0</v>
      </c>
      <c r="V45" s="491"/>
      <c r="AC45" s="491"/>
    </row>
    <row r="46" spans="1:29" ht="31.2">
      <c r="A46" s="284">
        <f t="shared" si="28"/>
        <v>20</v>
      </c>
      <c r="B46" s="286" t="s">
        <v>205</v>
      </c>
      <c r="C46" s="414" t="s">
        <v>532</v>
      </c>
      <c r="D46" s="402">
        <v>7992023</v>
      </c>
      <c r="E46" s="334">
        <v>11520</v>
      </c>
      <c r="F46" s="415">
        <v>11520</v>
      </c>
      <c r="G46" s="334">
        <v>3000</v>
      </c>
      <c r="H46" s="415">
        <f>4813.097+523.598</f>
        <v>5336.6949999999997</v>
      </c>
      <c r="I46" s="334">
        <f>J46</f>
        <v>4354.3990000000003</v>
      </c>
      <c r="J46" s="503">
        <v>4354.3990000000003</v>
      </c>
      <c r="K46" s="407">
        <f t="shared" si="6"/>
        <v>81.593551814372006</v>
      </c>
      <c r="L46" s="733">
        <f t="shared" si="25"/>
        <v>5336.6949999999997</v>
      </c>
      <c r="M46" s="407">
        <f>L46/H46*100</f>
        <v>100</v>
      </c>
      <c r="N46" s="416"/>
      <c r="O46" s="449">
        <v>1</v>
      </c>
      <c r="P46" s="713" t="s">
        <v>636</v>
      </c>
      <c r="Q46" s="255">
        <v>1</v>
      </c>
      <c r="R46" s="255"/>
      <c r="S46" s="255"/>
      <c r="T46" s="397">
        <f t="shared" si="26"/>
        <v>982.29599999999937</v>
      </c>
      <c r="U46" s="491">
        <f t="shared" si="2"/>
        <v>0</v>
      </c>
      <c r="V46" s="491"/>
      <c r="AC46" s="491"/>
    </row>
    <row r="47" spans="1:29" ht="31.2" customHeight="1">
      <c r="A47" s="284">
        <f t="shared" si="28"/>
        <v>21</v>
      </c>
      <c r="B47" s="286" t="s">
        <v>206</v>
      </c>
      <c r="C47" s="414" t="s">
        <v>532</v>
      </c>
      <c r="D47" s="402">
        <v>8000346</v>
      </c>
      <c r="E47" s="334">
        <v>2400</v>
      </c>
      <c r="F47" s="415">
        <v>2450</v>
      </c>
      <c r="G47" s="334">
        <v>1800</v>
      </c>
      <c r="H47" s="415">
        <v>528.24900000000002</v>
      </c>
      <c r="I47" s="334"/>
      <c r="J47" s="503"/>
      <c r="K47" s="407">
        <f t="shared" si="6"/>
        <v>0</v>
      </c>
      <c r="L47" s="733">
        <f t="shared" si="25"/>
        <v>528.24900000000002</v>
      </c>
      <c r="M47" s="407">
        <f>L47/H47*100</f>
        <v>100</v>
      </c>
      <c r="N47" s="416"/>
      <c r="O47" s="416"/>
      <c r="P47" s="713" t="s">
        <v>558</v>
      </c>
      <c r="Q47" s="255">
        <v>1</v>
      </c>
      <c r="R47" s="255"/>
      <c r="S47" s="255"/>
      <c r="T47" s="397">
        <f t="shared" si="26"/>
        <v>528.24900000000002</v>
      </c>
      <c r="U47" s="491">
        <f t="shared" si="2"/>
        <v>0</v>
      </c>
      <c r="V47" s="491"/>
      <c r="AC47" s="491"/>
    </row>
    <row r="48" spans="1:29" ht="31.2">
      <c r="A48" s="284">
        <f t="shared" si="28"/>
        <v>22</v>
      </c>
      <c r="B48" s="285" t="s">
        <v>207</v>
      </c>
      <c r="C48" s="414" t="s">
        <v>532</v>
      </c>
      <c r="D48" s="402">
        <v>8003778</v>
      </c>
      <c r="E48" s="334">
        <v>3800</v>
      </c>
      <c r="F48" s="415">
        <v>3800</v>
      </c>
      <c r="G48" s="334">
        <v>500</v>
      </c>
      <c r="H48" s="415">
        <v>800</v>
      </c>
      <c r="I48" s="334"/>
      <c r="J48" s="503"/>
      <c r="K48" s="407">
        <f t="shared" si="6"/>
        <v>0</v>
      </c>
      <c r="L48" s="733">
        <f t="shared" si="25"/>
        <v>800</v>
      </c>
      <c r="M48" s="407">
        <f>L48/H48*100</f>
        <v>100</v>
      </c>
      <c r="N48" s="418"/>
      <c r="O48" s="449">
        <v>1</v>
      </c>
      <c r="P48" s="713" t="s">
        <v>558</v>
      </c>
      <c r="Q48" s="255">
        <v>1</v>
      </c>
      <c r="R48" s="255"/>
      <c r="S48" s="255"/>
      <c r="T48" s="397">
        <f t="shared" si="26"/>
        <v>800</v>
      </c>
      <c r="U48" s="491">
        <f t="shared" si="2"/>
        <v>0</v>
      </c>
      <c r="V48" s="491"/>
      <c r="AC48" s="491"/>
    </row>
    <row r="49" spans="1:29" ht="36" customHeight="1">
      <c r="A49" s="284">
        <f t="shared" si="28"/>
        <v>23</v>
      </c>
      <c r="B49" s="285" t="s">
        <v>208</v>
      </c>
      <c r="C49" s="414" t="s">
        <v>532</v>
      </c>
      <c r="D49" s="402">
        <v>7992713</v>
      </c>
      <c r="E49" s="334">
        <v>2335</v>
      </c>
      <c r="F49" s="415">
        <v>2335</v>
      </c>
      <c r="G49" s="334">
        <v>500</v>
      </c>
      <c r="H49" s="415">
        <v>300</v>
      </c>
      <c r="I49" s="334">
        <f>J49</f>
        <v>11.84</v>
      </c>
      <c r="J49" s="503">
        <v>11.84</v>
      </c>
      <c r="K49" s="407">
        <f t="shared" si="6"/>
        <v>3.9466666666666663</v>
      </c>
      <c r="L49" s="733">
        <f t="shared" si="25"/>
        <v>300</v>
      </c>
      <c r="M49" s="407">
        <f>L49/H49*100</f>
        <v>100</v>
      </c>
      <c r="N49" s="418"/>
      <c r="O49" s="449">
        <v>1</v>
      </c>
      <c r="P49" s="713" t="s">
        <v>558</v>
      </c>
      <c r="Q49" s="255">
        <v>1</v>
      </c>
      <c r="R49" s="255"/>
      <c r="S49" s="255"/>
      <c r="T49" s="397">
        <f t="shared" si="26"/>
        <v>288.16000000000003</v>
      </c>
      <c r="U49" s="491">
        <f t="shared" si="2"/>
        <v>0</v>
      </c>
      <c r="V49" s="491"/>
      <c r="AC49" s="491"/>
    </row>
    <row r="50" spans="1:29" ht="31.2">
      <c r="A50" s="284">
        <f t="shared" si="28"/>
        <v>24</v>
      </c>
      <c r="B50" s="286" t="s">
        <v>209</v>
      </c>
      <c r="C50" s="414" t="s">
        <v>532</v>
      </c>
      <c r="D50" s="402">
        <v>8006001</v>
      </c>
      <c r="E50" s="334">
        <v>3100</v>
      </c>
      <c r="F50" s="415">
        <v>3224</v>
      </c>
      <c r="G50" s="334">
        <f>3000-69.653</f>
        <v>2930.3470000000002</v>
      </c>
      <c r="H50" s="415">
        <v>0</v>
      </c>
      <c r="I50" s="334"/>
      <c r="J50" s="503"/>
      <c r="K50" s="407">
        <v>0</v>
      </c>
      <c r="L50" s="733">
        <f t="shared" si="25"/>
        <v>0</v>
      </c>
      <c r="M50" s="407"/>
      <c r="N50" s="416"/>
      <c r="O50" s="416"/>
      <c r="P50" s="713" t="s">
        <v>558</v>
      </c>
      <c r="Q50" s="255">
        <v>1</v>
      </c>
      <c r="R50" s="255"/>
      <c r="S50" s="255"/>
      <c r="T50" s="397">
        <f t="shared" si="26"/>
        <v>0</v>
      </c>
      <c r="U50" s="491">
        <f t="shared" si="2"/>
        <v>0</v>
      </c>
      <c r="V50" s="491"/>
      <c r="AC50" s="491"/>
    </row>
    <row r="51" spans="1:29" ht="39.6" customHeight="1">
      <c r="A51" s="284">
        <f t="shared" si="28"/>
        <v>25</v>
      </c>
      <c r="B51" s="285" t="s">
        <v>210</v>
      </c>
      <c r="C51" s="414" t="s">
        <v>532</v>
      </c>
      <c r="D51" s="402">
        <v>8005995</v>
      </c>
      <c r="E51" s="334">
        <v>27754.789000000001</v>
      </c>
      <c r="F51" s="415">
        <v>5500</v>
      </c>
      <c r="G51" s="334">
        <v>600</v>
      </c>
      <c r="H51" s="415">
        <v>1600</v>
      </c>
      <c r="I51" s="334">
        <f>J51</f>
        <v>1600</v>
      </c>
      <c r="J51" s="503">
        <v>1600</v>
      </c>
      <c r="K51" s="407">
        <f t="shared" si="6"/>
        <v>100</v>
      </c>
      <c r="L51" s="733">
        <f t="shared" si="25"/>
        <v>1600</v>
      </c>
      <c r="M51" s="407">
        <f t="shared" ref="M51:M82" si="30">L51/H51*100</f>
        <v>100</v>
      </c>
      <c r="N51" s="416"/>
      <c r="O51" s="449">
        <v>1</v>
      </c>
      <c r="P51" s="715"/>
      <c r="Q51" s="255">
        <v>1</v>
      </c>
      <c r="R51" s="255"/>
      <c r="S51" s="255"/>
      <c r="T51" s="397">
        <f t="shared" si="26"/>
        <v>0</v>
      </c>
      <c r="U51" s="491">
        <f t="shared" si="2"/>
        <v>0</v>
      </c>
      <c r="V51" s="491"/>
      <c r="AC51" s="491"/>
    </row>
    <row r="52" spans="1:29" ht="46.8">
      <c r="A52" s="284">
        <f t="shared" si="28"/>
        <v>26</v>
      </c>
      <c r="B52" s="287" t="s">
        <v>211</v>
      </c>
      <c r="C52" s="414" t="s">
        <v>182</v>
      </c>
      <c r="D52" s="402">
        <v>8004008</v>
      </c>
      <c r="E52" s="334">
        <v>1000</v>
      </c>
      <c r="F52" s="415">
        <v>1000</v>
      </c>
      <c r="G52" s="334">
        <v>800</v>
      </c>
      <c r="H52" s="415">
        <v>200</v>
      </c>
      <c r="I52" s="334">
        <v>16.088000000000001</v>
      </c>
      <c r="J52" s="503">
        <v>16.088000000000001</v>
      </c>
      <c r="K52" s="407">
        <f t="shared" si="6"/>
        <v>8.0440000000000005</v>
      </c>
      <c r="L52" s="733">
        <f t="shared" si="25"/>
        <v>200</v>
      </c>
      <c r="M52" s="407">
        <f t="shared" si="30"/>
        <v>100</v>
      </c>
      <c r="N52" s="416"/>
      <c r="O52" s="417"/>
      <c r="P52" s="714"/>
      <c r="Q52" s="255">
        <v>1</v>
      </c>
      <c r="R52" s="255"/>
      <c r="S52" s="255"/>
      <c r="T52" s="397">
        <f t="shared" si="26"/>
        <v>183.91200000000001</v>
      </c>
      <c r="U52" s="491">
        <f t="shared" si="2"/>
        <v>0</v>
      </c>
      <c r="V52" s="491"/>
      <c r="AC52" s="491"/>
    </row>
    <row r="53" spans="1:29" ht="36" customHeight="1">
      <c r="A53" s="284">
        <f t="shared" si="28"/>
        <v>27</v>
      </c>
      <c r="B53" s="286" t="s">
        <v>212</v>
      </c>
      <c r="C53" s="414" t="s">
        <v>532</v>
      </c>
      <c r="D53" s="402">
        <v>8006533</v>
      </c>
      <c r="E53" s="334">
        <v>2900</v>
      </c>
      <c r="F53" s="415">
        <v>2900</v>
      </c>
      <c r="G53" s="334">
        <v>974.15700000000004</v>
      </c>
      <c r="H53" s="415">
        <v>0</v>
      </c>
      <c r="I53" s="334"/>
      <c r="J53" s="503"/>
      <c r="K53" s="407"/>
      <c r="L53" s="733">
        <f t="shared" si="25"/>
        <v>0</v>
      </c>
      <c r="M53" s="407"/>
      <c r="N53" s="416"/>
      <c r="O53" s="418"/>
      <c r="P53" s="713" t="s">
        <v>636</v>
      </c>
      <c r="Q53" s="255">
        <v>1</v>
      </c>
      <c r="R53" s="255"/>
      <c r="S53" s="255"/>
      <c r="T53" s="397">
        <f t="shared" si="26"/>
        <v>0</v>
      </c>
      <c r="U53" s="491">
        <f t="shared" si="2"/>
        <v>0</v>
      </c>
      <c r="V53" s="491"/>
      <c r="AC53" s="491"/>
    </row>
    <row r="54" spans="1:29" ht="31.2">
      <c r="A54" s="284">
        <f t="shared" si="28"/>
        <v>28</v>
      </c>
      <c r="B54" s="274" t="s">
        <v>213</v>
      </c>
      <c r="C54" s="414" t="s">
        <v>532</v>
      </c>
      <c r="D54" s="402">
        <v>8007049</v>
      </c>
      <c r="E54" s="334">
        <v>1200</v>
      </c>
      <c r="F54" s="415">
        <v>1200</v>
      </c>
      <c r="G54" s="334">
        <v>700</v>
      </c>
      <c r="H54" s="415">
        <v>455.52</v>
      </c>
      <c r="I54" s="334">
        <f>J54</f>
        <v>445.09300000000002</v>
      </c>
      <c r="J54" s="503">
        <v>445.09300000000002</v>
      </c>
      <c r="K54" s="407">
        <f t="shared" si="6"/>
        <v>97.710967685282753</v>
      </c>
      <c r="L54" s="733">
        <f t="shared" si="25"/>
        <v>455.52</v>
      </c>
      <c r="M54" s="407">
        <f t="shared" si="30"/>
        <v>100</v>
      </c>
      <c r="N54" s="416"/>
      <c r="O54" s="449">
        <v>1</v>
      </c>
      <c r="P54" s="713" t="s">
        <v>558</v>
      </c>
      <c r="Q54" s="255">
        <v>1</v>
      </c>
      <c r="R54" s="255"/>
      <c r="S54" s="255"/>
      <c r="T54" s="397">
        <f t="shared" si="26"/>
        <v>10.426999999999964</v>
      </c>
      <c r="U54" s="491">
        <f t="shared" si="2"/>
        <v>0</v>
      </c>
      <c r="V54" s="491"/>
      <c r="AC54" s="491"/>
    </row>
    <row r="55" spans="1:29" ht="34.799999999999997" customHeight="1">
      <c r="A55" s="284">
        <f t="shared" si="28"/>
        <v>29</v>
      </c>
      <c r="B55" s="288" t="s">
        <v>214</v>
      </c>
      <c r="C55" s="414" t="s">
        <v>532</v>
      </c>
      <c r="D55" s="402">
        <v>8003020</v>
      </c>
      <c r="E55" s="334">
        <v>2000</v>
      </c>
      <c r="F55" s="415">
        <v>2000</v>
      </c>
      <c r="G55" s="334">
        <v>1000</v>
      </c>
      <c r="H55" s="415">
        <v>762.40499999999997</v>
      </c>
      <c r="I55" s="503">
        <f>J55</f>
        <v>752.41600000000005</v>
      </c>
      <c r="J55" s="503">
        <v>752.41600000000005</v>
      </c>
      <c r="K55" s="407">
        <f t="shared" si="6"/>
        <v>98.689803975577291</v>
      </c>
      <c r="L55" s="733">
        <f t="shared" si="25"/>
        <v>762.40499999999997</v>
      </c>
      <c r="M55" s="407">
        <f t="shared" si="30"/>
        <v>100</v>
      </c>
      <c r="N55" s="416"/>
      <c r="O55" s="416"/>
      <c r="P55" s="713" t="s">
        <v>558</v>
      </c>
      <c r="Q55" s="255">
        <v>1</v>
      </c>
      <c r="R55" s="255"/>
      <c r="S55" s="255"/>
      <c r="T55" s="397">
        <f t="shared" si="26"/>
        <v>9.9889999999999191</v>
      </c>
      <c r="U55" s="491">
        <f t="shared" si="2"/>
        <v>0</v>
      </c>
      <c r="V55" s="491"/>
      <c r="AC55" s="491"/>
    </row>
    <row r="56" spans="1:29" ht="31.2">
      <c r="A56" s="284">
        <f t="shared" si="28"/>
        <v>30</v>
      </c>
      <c r="B56" s="286" t="s">
        <v>215</v>
      </c>
      <c r="C56" s="414" t="s">
        <v>532</v>
      </c>
      <c r="D56" s="402">
        <v>8000341</v>
      </c>
      <c r="E56" s="334">
        <v>2400</v>
      </c>
      <c r="F56" s="415">
        <v>2400</v>
      </c>
      <c r="G56" s="334">
        <v>2000</v>
      </c>
      <c r="H56" s="415">
        <f>344.634-15.052</f>
        <v>329.58199999999999</v>
      </c>
      <c r="I56" s="334">
        <f>J56</f>
        <v>0.20699999999999999</v>
      </c>
      <c r="J56" s="503">
        <v>0.20699999999999999</v>
      </c>
      <c r="K56" s="407">
        <f t="shared" si="6"/>
        <v>6.2806828042793597E-2</v>
      </c>
      <c r="L56" s="733">
        <f t="shared" si="25"/>
        <v>329.58199999999999</v>
      </c>
      <c r="M56" s="407">
        <f t="shared" si="30"/>
        <v>100</v>
      </c>
      <c r="N56" s="416"/>
      <c r="O56" s="416"/>
      <c r="P56" s="713" t="s">
        <v>636</v>
      </c>
      <c r="Q56" s="255">
        <v>1</v>
      </c>
      <c r="R56" s="255"/>
      <c r="S56" s="255"/>
      <c r="T56" s="397">
        <f t="shared" si="26"/>
        <v>329.375</v>
      </c>
      <c r="U56" s="491">
        <f t="shared" si="2"/>
        <v>0</v>
      </c>
      <c r="V56" s="491"/>
      <c r="AC56" s="491"/>
    </row>
    <row r="57" spans="1:29" ht="36.6" customHeight="1">
      <c r="A57" s="284">
        <f t="shared" si="28"/>
        <v>31</v>
      </c>
      <c r="B57" s="285" t="s">
        <v>216</v>
      </c>
      <c r="C57" s="414" t="s">
        <v>184</v>
      </c>
      <c r="D57" s="402">
        <v>7998775</v>
      </c>
      <c r="E57" s="334">
        <v>3400</v>
      </c>
      <c r="F57" s="415">
        <v>3400</v>
      </c>
      <c r="G57" s="334">
        <v>2800</v>
      </c>
      <c r="H57" s="415">
        <v>600</v>
      </c>
      <c r="I57" s="334">
        <f>J57</f>
        <v>532.14800000000002</v>
      </c>
      <c r="J57" s="503">
        <v>532.14800000000002</v>
      </c>
      <c r="K57" s="407">
        <f t="shared" si="6"/>
        <v>88.691333333333333</v>
      </c>
      <c r="L57" s="733">
        <f t="shared" si="25"/>
        <v>600</v>
      </c>
      <c r="M57" s="407">
        <f t="shared" si="30"/>
        <v>100</v>
      </c>
      <c r="N57" s="417"/>
      <c r="O57" s="450">
        <v>1</v>
      </c>
      <c r="P57" s="716"/>
      <c r="Q57" s="255">
        <v>1</v>
      </c>
      <c r="R57" s="255"/>
      <c r="S57" s="255"/>
      <c r="T57" s="397">
        <f t="shared" si="26"/>
        <v>67.851999999999975</v>
      </c>
      <c r="U57" s="491">
        <f t="shared" si="2"/>
        <v>0</v>
      </c>
      <c r="V57" s="491"/>
      <c r="AC57" s="491"/>
    </row>
    <row r="58" spans="1:29" ht="31.2">
      <c r="A58" s="284">
        <f t="shared" si="28"/>
        <v>32</v>
      </c>
      <c r="B58" s="285" t="s">
        <v>217</v>
      </c>
      <c r="C58" s="414" t="s">
        <v>184</v>
      </c>
      <c r="D58" s="402">
        <v>7998774</v>
      </c>
      <c r="E58" s="334">
        <v>3400</v>
      </c>
      <c r="F58" s="415">
        <v>3400</v>
      </c>
      <c r="G58" s="334">
        <v>2800</v>
      </c>
      <c r="H58" s="415">
        <v>600</v>
      </c>
      <c r="I58" s="334"/>
      <c r="J58" s="503"/>
      <c r="K58" s="407">
        <f t="shared" si="6"/>
        <v>0</v>
      </c>
      <c r="L58" s="733">
        <f t="shared" si="25"/>
        <v>600</v>
      </c>
      <c r="M58" s="407">
        <f t="shared" si="30"/>
        <v>100</v>
      </c>
      <c r="N58" s="417"/>
      <c r="O58" s="450">
        <v>1</v>
      </c>
      <c r="P58" s="716"/>
      <c r="Q58" s="255">
        <v>1</v>
      </c>
      <c r="R58" s="255"/>
      <c r="S58" s="255"/>
      <c r="T58" s="397">
        <f t="shared" si="26"/>
        <v>600</v>
      </c>
      <c r="U58" s="491">
        <f t="shared" si="2"/>
        <v>0</v>
      </c>
      <c r="V58" s="491"/>
      <c r="AC58" s="491"/>
    </row>
    <row r="59" spans="1:29" ht="31.2">
      <c r="A59" s="284">
        <f t="shared" si="28"/>
        <v>33</v>
      </c>
      <c r="B59" s="285" t="s">
        <v>218</v>
      </c>
      <c r="C59" s="414" t="s">
        <v>532</v>
      </c>
      <c r="D59" s="402">
        <v>8006663</v>
      </c>
      <c r="E59" s="334">
        <v>2000</v>
      </c>
      <c r="F59" s="415">
        <v>2000</v>
      </c>
      <c r="G59" s="334">
        <f>800-182.14</f>
        <v>617.86</v>
      </c>
      <c r="H59" s="415">
        <v>0</v>
      </c>
      <c r="I59" s="334"/>
      <c r="J59" s="503"/>
      <c r="K59" s="407">
        <v>0</v>
      </c>
      <c r="L59" s="733">
        <f t="shared" si="25"/>
        <v>0</v>
      </c>
      <c r="M59" s="407" t="e">
        <f t="shared" si="30"/>
        <v>#DIV/0!</v>
      </c>
      <c r="N59" s="417"/>
      <c r="O59" s="418"/>
      <c r="P59" s="713" t="s">
        <v>558</v>
      </c>
      <c r="Q59" s="255">
        <v>1</v>
      </c>
      <c r="R59" s="255"/>
      <c r="S59" s="255"/>
      <c r="T59" s="397">
        <f t="shared" ref="T59:T90" si="31">H59-J59</f>
        <v>0</v>
      </c>
      <c r="U59" s="491">
        <f t="shared" si="2"/>
        <v>0</v>
      </c>
      <c r="V59" s="491"/>
      <c r="AC59" s="491"/>
    </row>
    <row r="60" spans="1:29" ht="38.4" customHeight="1">
      <c r="A60" s="284">
        <f t="shared" si="28"/>
        <v>34</v>
      </c>
      <c r="B60" s="288" t="s">
        <v>219</v>
      </c>
      <c r="C60" s="414" t="s">
        <v>184</v>
      </c>
      <c r="D60" s="402">
        <v>8000357</v>
      </c>
      <c r="E60" s="334">
        <v>2500</v>
      </c>
      <c r="F60" s="415">
        <v>2500</v>
      </c>
      <c r="G60" s="334">
        <v>2200</v>
      </c>
      <c r="H60" s="415">
        <v>300</v>
      </c>
      <c r="I60" s="334">
        <f>J60</f>
        <v>163.16200000000001</v>
      </c>
      <c r="J60" s="503">
        <v>163.16200000000001</v>
      </c>
      <c r="K60" s="407">
        <f t="shared" si="6"/>
        <v>54.387333333333331</v>
      </c>
      <c r="L60" s="733">
        <f t="shared" si="25"/>
        <v>300</v>
      </c>
      <c r="M60" s="407">
        <f t="shared" si="30"/>
        <v>100</v>
      </c>
      <c r="N60" s="417"/>
      <c r="O60" s="417"/>
      <c r="P60" s="716"/>
      <c r="Q60" s="255">
        <v>1</v>
      </c>
      <c r="R60" s="255"/>
      <c r="S60" s="255"/>
      <c r="T60" s="397">
        <f t="shared" si="31"/>
        <v>136.83799999999999</v>
      </c>
      <c r="U60" s="491">
        <f t="shared" si="2"/>
        <v>0</v>
      </c>
      <c r="V60" s="491"/>
      <c r="AC60" s="491"/>
    </row>
    <row r="61" spans="1:29" ht="31.2">
      <c r="A61" s="284">
        <f t="shared" si="28"/>
        <v>35</v>
      </c>
      <c r="B61" s="285" t="s">
        <v>220</v>
      </c>
      <c r="C61" s="414" t="s">
        <v>532</v>
      </c>
      <c r="D61" s="402">
        <v>8006000</v>
      </c>
      <c r="E61" s="334">
        <v>1000</v>
      </c>
      <c r="F61" s="415">
        <v>1000</v>
      </c>
      <c r="G61" s="334">
        <v>800</v>
      </c>
      <c r="H61" s="415">
        <v>174.33600000000001</v>
      </c>
      <c r="I61" s="334">
        <f>J61</f>
        <v>167.20699999999999</v>
      </c>
      <c r="J61" s="503">
        <v>167.20699999999999</v>
      </c>
      <c r="K61" s="407">
        <f t="shared" si="6"/>
        <v>95.910770007342137</v>
      </c>
      <c r="L61" s="733">
        <f t="shared" si="25"/>
        <v>174.33600000000001</v>
      </c>
      <c r="M61" s="407">
        <f t="shared" si="30"/>
        <v>100</v>
      </c>
      <c r="N61" s="416"/>
      <c r="O61" s="416"/>
      <c r="P61" s="713" t="s">
        <v>558</v>
      </c>
      <c r="Q61" s="255">
        <v>1</v>
      </c>
      <c r="R61" s="255"/>
      <c r="S61" s="255"/>
      <c r="T61" s="397">
        <f t="shared" si="31"/>
        <v>7.1290000000000191</v>
      </c>
      <c r="U61" s="491">
        <f t="shared" si="2"/>
        <v>0</v>
      </c>
      <c r="V61" s="491"/>
      <c r="AC61" s="491"/>
    </row>
    <row r="62" spans="1:29" ht="62.4">
      <c r="A62" s="284">
        <f t="shared" si="28"/>
        <v>36</v>
      </c>
      <c r="B62" s="285" t="s">
        <v>221</v>
      </c>
      <c r="C62" s="414" t="s">
        <v>532</v>
      </c>
      <c r="D62" s="402">
        <v>8000345</v>
      </c>
      <c r="E62" s="334">
        <v>900</v>
      </c>
      <c r="F62" s="415">
        <v>900</v>
      </c>
      <c r="G62" s="334">
        <v>700</v>
      </c>
      <c r="H62" s="415">
        <v>176.49700000000001</v>
      </c>
      <c r="I62" s="334">
        <f>J62</f>
        <v>171.529</v>
      </c>
      <c r="J62" s="503">
        <v>171.529</v>
      </c>
      <c r="K62" s="407">
        <f t="shared" si="6"/>
        <v>97.185221278548639</v>
      </c>
      <c r="L62" s="733">
        <f t="shared" si="25"/>
        <v>176.49700000000001</v>
      </c>
      <c r="M62" s="407">
        <f t="shared" si="30"/>
        <v>100</v>
      </c>
      <c r="N62" s="416"/>
      <c r="O62" s="418"/>
      <c r="P62" s="713" t="s">
        <v>558</v>
      </c>
      <c r="Q62" s="255">
        <v>1</v>
      </c>
      <c r="R62" s="255"/>
      <c r="S62" s="255"/>
      <c r="T62" s="397">
        <f t="shared" si="31"/>
        <v>4.9680000000000177</v>
      </c>
      <c r="U62" s="491">
        <f t="shared" si="2"/>
        <v>0</v>
      </c>
      <c r="V62" s="491"/>
      <c r="AC62" s="491"/>
    </row>
    <row r="63" spans="1:29" ht="31.2">
      <c r="A63" s="284">
        <f t="shared" si="28"/>
        <v>37</v>
      </c>
      <c r="B63" s="286" t="s">
        <v>222</v>
      </c>
      <c r="C63" s="414" t="s">
        <v>532</v>
      </c>
      <c r="D63" s="402">
        <v>8002020</v>
      </c>
      <c r="E63" s="334">
        <v>1658</v>
      </c>
      <c r="F63" s="415">
        <v>1658</v>
      </c>
      <c r="G63" s="334">
        <v>1300</v>
      </c>
      <c r="H63" s="415">
        <f>358-29.741</f>
        <v>328.25900000000001</v>
      </c>
      <c r="I63" s="334"/>
      <c r="J63" s="503"/>
      <c r="K63" s="407">
        <f t="shared" si="6"/>
        <v>0</v>
      </c>
      <c r="L63" s="733">
        <f t="shared" si="25"/>
        <v>328.25900000000001</v>
      </c>
      <c r="M63" s="407">
        <f t="shared" si="30"/>
        <v>100</v>
      </c>
      <c r="N63" s="416"/>
      <c r="O63" s="416"/>
      <c r="P63" s="713" t="s">
        <v>637</v>
      </c>
      <c r="Q63" s="255">
        <v>1</v>
      </c>
      <c r="R63" s="255"/>
      <c r="S63" s="255"/>
      <c r="T63" s="397">
        <f t="shared" si="31"/>
        <v>328.25900000000001</v>
      </c>
      <c r="U63" s="491">
        <f t="shared" si="2"/>
        <v>0</v>
      </c>
      <c r="V63" s="491"/>
      <c r="AC63" s="491"/>
    </row>
    <row r="64" spans="1:29" ht="31.2">
      <c r="A64" s="284">
        <f t="shared" si="28"/>
        <v>38</v>
      </c>
      <c r="B64" s="285" t="s">
        <v>223</v>
      </c>
      <c r="C64" s="414" t="s">
        <v>532</v>
      </c>
      <c r="D64" s="402">
        <v>8006006</v>
      </c>
      <c r="E64" s="334">
        <v>1000</v>
      </c>
      <c r="F64" s="415">
        <v>1000</v>
      </c>
      <c r="G64" s="334">
        <v>800</v>
      </c>
      <c r="H64" s="415">
        <v>50.223999999999997</v>
      </c>
      <c r="I64" s="503">
        <v>45.405000000000001</v>
      </c>
      <c r="J64" s="503">
        <v>45.405000000000001</v>
      </c>
      <c r="K64" s="407">
        <f t="shared" si="6"/>
        <v>90.404985664224284</v>
      </c>
      <c r="L64" s="733">
        <f t="shared" si="25"/>
        <v>50.223999999999997</v>
      </c>
      <c r="M64" s="407">
        <f t="shared" si="30"/>
        <v>100</v>
      </c>
      <c r="N64" s="416"/>
      <c r="O64" s="416"/>
      <c r="P64" s="713" t="s">
        <v>558</v>
      </c>
      <c r="Q64" s="255">
        <v>1</v>
      </c>
      <c r="R64" s="255"/>
      <c r="S64" s="255"/>
      <c r="T64" s="397">
        <f t="shared" si="31"/>
        <v>4.8189999999999955</v>
      </c>
      <c r="U64" s="491">
        <f t="shared" si="2"/>
        <v>0</v>
      </c>
      <c r="V64" s="491"/>
      <c r="AC64" s="491"/>
    </row>
    <row r="65" spans="1:29" ht="31.2" customHeight="1">
      <c r="A65" s="284">
        <f t="shared" si="28"/>
        <v>39</v>
      </c>
      <c r="B65" s="287" t="s">
        <v>224</v>
      </c>
      <c r="C65" s="414" t="s">
        <v>532</v>
      </c>
      <c r="D65" s="402">
        <v>8000343</v>
      </c>
      <c r="E65" s="334">
        <v>1988</v>
      </c>
      <c r="F65" s="415">
        <v>1988</v>
      </c>
      <c r="G65" s="334">
        <v>1300</v>
      </c>
      <c r="H65" s="415">
        <f>617.958-13.089</f>
        <v>604.86899999999991</v>
      </c>
      <c r="I65" s="503">
        <f>J65</f>
        <v>590.65700000000004</v>
      </c>
      <c r="J65" s="503">
        <v>590.65700000000004</v>
      </c>
      <c r="K65" s="407">
        <f t="shared" si="6"/>
        <v>97.650400334617927</v>
      </c>
      <c r="L65" s="733">
        <f t="shared" si="25"/>
        <v>604.86899999999991</v>
      </c>
      <c r="M65" s="407">
        <f t="shared" si="30"/>
        <v>100</v>
      </c>
      <c r="N65" s="416"/>
      <c r="O65" s="416"/>
      <c r="P65" s="713" t="s">
        <v>636</v>
      </c>
      <c r="Q65" s="255">
        <v>1</v>
      </c>
      <c r="R65" s="255"/>
      <c r="S65" s="255"/>
      <c r="T65" s="397">
        <f t="shared" si="31"/>
        <v>14.211999999999875</v>
      </c>
      <c r="U65" s="491">
        <f t="shared" si="2"/>
        <v>0</v>
      </c>
      <c r="V65" s="491"/>
      <c r="AC65" s="491"/>
    </row>
    <row r="66" spans="1:29" ht="31.2">
      <c r="A66" s="284">
        <f t="shared" si="28"/>
        <v>40</v>
      </c>
      <c r="B66" s="286" t="s">
        <v>225</v>
      </c>
      <c r="C66" s="414" t="s">
        <v>532</v>
      </c>
      <c r="D66" s="402">
        <v>7990628</v>
      </c>
      <c r="E66" s="334">
        <v>3400</v>
      </c>
      <c r="F66" s="415">
        <v>3400</v>
      </c>
      <c r="G66" s="334">
        <v>2300</v>
      </c>
      <c r="H66" s="415">
        <v>944.98599999999999</v>
      </c>
      <c r="I66" s="334">
        <f>J66</f>
        <v>9.2319999999999993</v>
      </c>
      <c r="J66" s="503">
        <v>9.2319999999999993</v>
      </c>
      <c r="K66" s="407">
        <f t="shared" si="6"/>
        <v>0.97694569020070132</v>
      </c>
      <c r="L66" s="733">
        <f t="shared" si="25"/>
        <v>944.98599999999999</v>
      </c>
      <c r="M66" s="407">
        <f t="shared" si="30"/>
        <v>100</v>
      </c>
      <c r="N66" s="416"/>
      <c r="O66" s="416"/>
      <c r="P66" s="713" t="s">
        <v>558</v>
      </c>
      <c r="Q66" s="255">
        <v>1</v>
      </c>
      <c r="R66" s="255"/>
      <c r="S66" s="255"/>
      <c r="T66" s="397">
        <f t="shared" si="31"/>
        <v>935.75400000000002</v>
      </c>
      <c r="U66" s="491">
        <f t="shared" si="2"/>
        <v>0</v>
      </c>
      <c r="V66" s="491"/>
      <c r="AC66" s="491"/>
    </row>
    <row r="67" spans="1:29" ht="31.2">
      <c r="A67" s="284">
        <f t="shared" si="28"/>
        <v>41</v>
      </c>
      <c r="B67" s="286" t="s">
        <v>226</v>
      </c>
      <c r="C67" s="414" t="s">
        <v>532</v>
      </c>
      <c r="D67" s="402">
        <v>8000344</v>
      </c>
      <c r="E67" s="334">
        <v>2700</v>
      </c>
      <c r="F67" s="415">
        <v>2700</v>
      </c>
      <c r="G67" s="334">
        <v>1800</v>
      </c>
      <c r="H67" s="415">
        <v>735.57799999999997</v>
      </c>
      <c r="I67" s="334"/>
      <c r="J67" s="503"/>
      <c r="K67" s="407">
        <f t="shared" si="6"/>
        <v>0</v>
      </c>
      <c r="L67" s="733">
        <f t="shared" si="25"/>
        <v>735.57799999999997</v>
      </c>
      <c r="M67" s="407">
        <f t="shared" si="30"/>
        <v>100</v>
      </c>
      <c r="N67" s="416"/>
      <c r="O67" s="416"/>
      <c r="P67" s="713" t="s">
        <v>558</v>
      </c>
      <c r="Q67" s="255">
        <v>1</v>
      </c>
      <c r="R67" s="255"/>
      <c r="S67" s="255"/>
      <c r="T67" s="397">
        <f t="shared" si="31"/>
        <v>735.57799999999997</v>
      </c>
      <c r="U67" s="491">
        <f t="shared" si="2"/>
        <v>0</v>
      </c>
      <c r="V67" s="491"/>
      <c r="AC67" s="491"/>
    </row>
    <row r="68" spans="1:29" s="344" customFormat="1" ht="19.2" customHeight="1">
      <c r="A68" s="282" t="s">
        <v>40</v>
      </c>
      <c r="B68" s="409" t="s">
        <v>12</v>
      </c>
      <c r="C68" s="419"/>
      <c r="D68" s="420"/>
      <c r="E68" s="343">
        <f>SUM(E69:E84)</f>
        <v>26950</v>
      </c>
      <c r="F68" s="343">
        <f>SUM(F69:F84)</f>
        <v>26200</v>
      </c>
      <c r="G68" s="343">
        <f t="shared" ref="G68:L68" si="32">SUM(G69:G84)</f>
        <v>1325.8429999999998</v>
      </c>
      <c r="H68" s="343">
        <f t="shared" si="32"/>
        <v>10826.842000000001</v>
      </c>
      <c r="I68" s="343">
        <f t="shared" si="32"/>
        <v>10524.957700000001</v>
      </c>
      <c r="J68" s="504">
        <f t="shared" si="32"/>
        <v>10503.7577</v>
      </c>
      <c r="K68" s="395">
        <f t="shared" si="6"/>
        <v>97.015895309084584</v>
      </c>
      <c r="L68" s="343">
        <f t="shared" si="32"/>
        <v>10826.842000000001</v>
      </c>
      <c r="M68" s="407">
        <f t="shared" si="30"/>
        <v>100</v>
      </c>
      <c r="N68" s="382"/>
      <c r="O68" s="382"/>
      <c r="P68" s="717"/>
      <c r="Q68" s="257"/>
      <c r="R68" s="257"/>
      <c r="S68" s="257"/>
      <c r="T68" s="397">
        <f t="shared" si="31"/>
        <v>323.08430000000044</v>
      </c>
      <c r="U68" s="491">
        <f t="shared" si="2"/>
        <v>21.200000000000728</v>
      </c>
      <c r="V68" s="491"/>
      <c r="AC68" s="491"/>
    </row>
    <row r="69" spans="1:29" ht="31.2">
      <c r="A69" s="284">
        <v>1</v>
      </c>
      <c r="B69" s="286" t="s">
        <v>342</v>
      </c>
      <c r="C69" s="414" t="s">
        <v>532</v>
      </c>
      <c r="D69" s="402">
        <v>8023629</v>
      </c>
      <c r="E69" s="421">
        <v>3000</v>
      </c>
      <c r="F69" s="421">
        <v>3000</v>
      </c>
      <c r="G69" s="334"/>
      <c r="H69" s="415">
        <v>850</v>
      </c>
      <c r="I69" s="334">
        <v>850</v>
      </c>
      <c r="J69" s="503">
        <v>850</v>
      </c>
      <c r="K69" s="407">
        <f t="shared" si="6"/>
        <v>100</v>
      </c>
      <c r="L69" s="733">
        <f t="shared" ref="L69:L84" si="33">H69</f>
        <v>850</v>
      </c>
      <c r="M69" s="407">
        <f t="shared" si="30"/>
        <v>100</v>
      </c>
      <c r="N69" s="418"/>
      <c r="O69" s="418"/>
      <c r="P69" s="715"/>
      <c r="Q69" s="255">
        <v>1</v>
      </c>
      <c r="R69" s="255">
        <v>1</v>
      </c>
      <c r="S69" s="255"/>
      <c r="T69" s="397">
        <f t="shared" si="31"/>
        <v>0</v>
      </c>
      <c r="U69" s="491">
        <f t="shared" si="2"/>
        <v>0</v>
      </c>
      <c r="V69" s="491"/>
      <c r="AC69" s="491"/>
    </row>
    <row r="70" spans="1:29" ht="31.2">
      <c r="A70" s="284">
        <v>2</v>
      </c>
      <c r="B70" s="286" t="s">
        <v>343</v>
      </c>
      <c r="C70" s="414" t="s">
        <v>532</v>
      </c>
      <c r="D70" s="402">
        <v>8023628</v>
      </c>
      <c r="E70" s="421">
        <v>2000</v>
      </c>
      <c r="F70" s="421">
        <v>2000</v>
      </c>
      <c r="G70" s="334"/>
      <c r="H70" s="415">
        <v>1645</v>
      </c>
      <c r="I70" s="334">
        <f>J70</f>
        <v>1645</v>
      </c>
      <c r="J70" s="503">
        <v>1645</v>
      </c>
      <c r="K70" s="407">
        <f t="shared" si="6"/>
        <v>100</v>
      </c>
      <c r="L70" s="733">
        <f t="shared" si="33"/>
        <v>1645</v>
      </c>
      <c r="M70" s="407">
        <f t="shared" si="30"/>
        <v>100</v>
      </c>
      <c r="N70" s="418"/>
      <c r="O70" s="418"/>
      <c r="P70" s="713" t="s">
        <v>636</v>
      </c>
      <c r="Q70" s="255">
        <v>1</v>
      </c>
      <c r="R70" s="255">
        <v>1</v>
      </c>
      <c r="S70" s="255"/>
      <c r="T70" s="397">
        <f t="shared" si="31"/>
        <v>0</v>
      </c>
      <c r="U70" s="491">
        <f t="shared" si="2"/>
        <v>0</v>
      </c>
      <c r="V70" s="491"/>
      <c r="AC70" s="491"/>
    </row>
    <row r="71" spans="1:29" ht="31.2">
      <c r="A71" s="284">
        <v>3</v>
      </c>
      <c r="B71" s="286" t="s">
        <v>344</v>
      </c>
      <c r="C71" s="414" t="s">
        <v>345</v>
      </c>
      <c r="D71" s="402">
        <v>8024317</v>
      </c>
      <c r="E71" s="421">
        <v>1500</v>
      </c>
      <c r="F71" s="421">
        <v>1500</v>
      </c>
      <c r="G71" s="334"/>
      <c r="H71" s="415">
        <v>450</v>
      </c>
      <c r="I71" s="334">
        <f>J71</f>
        <v>430</v>
      </c>
      <c r="J71" s="503">
        <v>430</v>
      </c>
      <c r="K71" s="407">
        <f t="shared" si="6"/>
        <v>95.555555555555557</v>
      </c>
      <c r="L71" s="733">
        <f t="shared" si="33"/>
        <v>450</v>
      </c>
      <c r="M71" s="407">
        <f t="shared" si="30"/>
        <v>100</v>
      </c>
      <c r="N71" s="418"/>
      <c r="O71" s="417"/>
      <c r="P71" s="715"/>
      <c r="Q71" s="255">
        <v>1</v>
      </c>
      <c r="R71" s="255">
        <v>1</v>
      </c>
      <c r="S71" s="255">
        <v>1</v>
      </c>
      <c r="T71" s="397">
        <f t="shared" si="31"/>
        <v>20</v>
      </c>
      <c r="U71" s="491">
        <f t="shared" si="2"/>
        <v>0</v>
      </c>
      <c r="V71" s="491"/>
      <c r="AC71" s="491"/>
    </row>
    <row r="72" spans="1:29" ht="31.2">
      <c r="A72" s="284">
        <v>4</v>
      </c>
      <c r="B72" s="286" t="s">
        <v>346</v>
      </c>
      <c r="C72" s="414" t="s">
        <v>532</v>
      </c>
      <c r="D72" s="402">
        <v>8022233</v>
      </c>
      <c r="E72" s="421">
        <v>3300</v>
      </c>
      <c r="F72" s="421">
        <v>3300</v>
      </c>
      <c r="G72" s="334"/>
      <c r="H72" s="415">
        <v>1500</v>
      </c>
      <c r="I72" s="334">
        <f>J72</f>
        <v>1500</v>
      </c>
      <c r="J72" s="503">
        <v>1500</v>
      </c>
      <c r="K72" s="407">
        <f t="shared" si="6"/>
        <v>100</v>
      </c>
      <c r="L72" s="733">
        <f t="shared" si="33"/>
        <v>1500</v>
      </c>
      <c r="M72" s="407">
        <f t="shared" si="30"/>
        <v>100</v>
      </c>
      <c r="N72" s="418"/>
      <c r="O72" s="418"/>
      <c r="P72" s="713" t="s">
        <v>558</v>
      </c>
      <c r="Q72" s="255">
        <v>1</v>
      </c>
      <c r="R72" s="255">
        <v>1</v>
      </c>
      <c r="S72" s="255"/>
      <c r="T72" s="397">
        <f t="shared" si="31"/>
        <v>0</v>
      </c>
      <c r="U72" s="491">
        <f t="shared" si="2"/>
        <v>0</v>
      </c>
      <c r="V72" s="491"/>
      <c r="AC72" s="491"/>
    </row>
    <row r="73" spans="1:29" ht="31.2">
      <c r="A73" s="284">
        <v>5</v>
      </c>
      <c r="B73" s="286" t="s">
        <v>547</v>
      </c>
      <c r="C73" s="414" t="s">
        <v>181</v>
      </c>
      <c r="D73" s="402">
        <v>8019820</v>
      </c>
      <c r="E73" s="421">
        <v>1500</v>
      </c>
      <c r="F73" s="421">
        <v>1500</v>
      </c>
      <c r="G73" s="334"/>
      <c r="H73" s="415">
        <v>450</v>
      </c>
      <c r="I73" s="334">
        <f>J73</f>
        <v>430.53370000000001</v>
      </c>
      <c r="J73" s="503">
        <v>430.53370000000001</v>
      </c>
      <c r="K73" s="407">
        <f t="shared" si="6"/>
        <v>95.674155555555558</v>
      </c>
      <c r="L73" s="733">
        <f t="shared" si="33"/>
        <v>450</v>
      </c>
      <c r="M73" s="407">
        <f t="shared" si="30"/>
        <v>100</v>
      </c>
      <c r="N73" s="418"/>
      <c r="O73" s="418">
        <v>2</v>
      </c>
      <c r="P73" s="715"/>
      <c r="Q73" s="255">
        <v>1</v>
      </c>
      <c r="R73" s="255">
        <v>1</v>
      </c>
      <c r="S73" s="255">
        <v>1</v>
      </c>
      <c r="T73" s="397">
        <f t="shared" si="31"/>
        <v>19.46629999999999</v>
      </c>
      <c r="U73" s="491">
        <f t="shared" ref="U73:U136" si="34">I73-J73</f>
        <v>0</v>
      </c>
      <c r="V73" s="491"/>
      <c r="AC73" s="491"/>
    </row>
    <row r="74" spans="1:29" ht="31.2">
      <c r="A74" s="284">
        <v>6</v>
      </c>
      <c r="B74" s="286" t="s">
        <v>301</v>
      </c>
      <c r="C74" s="414" t="s">
        <v>532</v>
      </c>
      <c r="D74" s="402">
        <v>8000339</v>
      </c>
      <c r="E74" s="421">
        <v>1100</v>
      </c>
      <c r="F74" s="421">
        <v>450</v>
      </c>
      <c r="G74" s="334"/>
      <c r="H74" s="415">
        <v>450</v>
      </c>
      <c r="I74" s="334">
        <v>450</v>
      </c>
      <c r="J74" s="503">
        <v>450</v>
      </c>
      <c r="K74" s="407">
        <f t="shared" ref="K74:K137" si="35">J74/H74*100</f>
        <v>100</v>
      </c>
      <c r="L74" s="733">
        <f t="shared" si="33"/>
        <v>450</v>
      </c>
      <c r="M74" s="407">
        <f t="shared" si="30"/>
        <v>100</v>
      </c>
      <c r="N74" s="418"/>
      <c r="O74" s="418">
        <v>2</v>
      </c>
      <c r="P74" s="715"/>
      <c r="Q74" s="255">
        <v>1</v>
      </c>
      <c r="R74" s="255">
        <v>1</v>
      </c>
      <c r="S74" s="255"/>
      <c r="T74" s="397">
        <f t="shared" si="31"/>
        <v>0</v>
      </c>
      <c r="U74" s="491">
        <f t="shared" si="34"/>
        <v>0</v>
      </c>
      <c r="V74" s="491"/>
      <c r="AC74" s="491"/>
    </row>
    <row r="75" spans="1:29" ht="31.2">
      <c r="A75" s="284">
        <v>7</v>
      </c>
      <c r="B75" s="286" t="s">
        <v>347</v>
      </c>
      <c r="C75" s="414" t="s">
        <v>532</v>
      </c>
      <c r="D75" s="402">
        <v>8029555</v>
      </c>
      <c r="E75" s="421"/>
      <c r="F75" s="421">
        <v>500</v>
      </c>
      <c r="G75" s="334"/>
      <c r="H75" s="415">
        <v>500</v>
      </c>
      <c r="I75" s="334">
        <v>500</v>
      </c>
      <c r="J75" s="503">
        <v>500</v>
      </c>
      <c r="K75" s="407">
        <f t="shared" si="35"/>
        <v>100</v>
      </c>
      <c r="L75" s="733">
        <f t="shared" si="33"/>
        <v>500</v>
      </c>
      <c r="M75" s="407">
        <f t="shared" si="30"/>
        <v>100</v>
      </c>
      <c r="N75" s="418"/>
      <c r="O75" s="418"/>
      <c r="P75" s="715"/>
      <c r="Q75" s="255">
        <v>1</v>
      </c>
      <c r="R75" s="255">
        <v>1</v>
      </c>
      <c r="S75" s="255"/>
      <c r="T75" s="397">
        <f t="shared" si="31"/>
        <v>0</v>
      </c>
      <c r="U75" s="491">
        <f t="shared" si="34"/>
        <v>0</v>
      </c>
      <c r="V75" s="491"/>
      <c r="AC75" s="491"/>
    </row>
    <row r="76" spans="1:29">
      <c r="A76" s="284">
        <v>8</v>
      </c>
      <c r="B76" s="286" t="s">
        <v>348</v>
      </c>
      <c r="C76" s="414" t="s">
        <v>175</v>
      </c>
      <c r="D76" s="402">
        <v>8024318</v>
      </c>
      <c r="E76" s="421">
        <v>700</v>
      </c>
      <c r="F76" s="421">
        <v>700</v>
      </c>
      <c r="G76" s="334"/>
      <c r="H76" s="415">
        <v>250</v>
      </c>
      <c r="I76" s="334">
        <v>210</v>
      </c>
      <c r="J76" s="503">
        <v>200.8</v>
      </c>
      <c r="K76" s="407">
        <f t="shared" si="35"/>
        <v>80.320000000000007</v>
      </c>
      <c r="L76" s="733">
        <f t="shared" si="33"/>
        <v>250</v>
      </c>
      <c r="M76" s="407">
        <f t="shared" si="30"/>
        <v>100</v>
      </c>
      <c r="N76" s="418"/>
      <c r="O76" s="417"/>
      <c r="P76" s="715"/>
      <c r="Q76" s="255">
        <v>1</v>
      </c>
      <c r="R76" s="255">
        <v>1</v>
      </c>
      <c r="S76" s="255">
        <v>1</v>
      </c>
      <c r="T76" s="397">
        <f t="shared" si="31"/>
        <v>49.199999999999989</v>
      </c>
      <c r="U76" s="491">
        <f t="shared" si="34"/>
        <v>9.1999999999999886</v>
      </c>
      <c r="V76" s="491"/>
      <c r="AC76" s="491"/>
    </row>
    <row r="77" spans="1:29" ht="31.2">
      <c r="A77" s="284">
        <v>9</v>
      </c>
      <c r="B77" s="286" t="s">
        <v>349</v>
      </c>
      <c r="C77" s="414" t="s">
        <v>532</v>
      </c>
      <c r="D77" s="402">
        <v>8023840</v>
      </c>
      <c r="E77" s="421">
        <v>1000</v>
      </c>
      <c r="F77" s="421">
        <v>1000</v>
      </c>
      <c r="G77" s="334"/>
      <c r="H77" s="415">
        <v>631.84199999999998</v>
      </c>
      <c r="I77" s="334">
        <f t="shared" ref="I77:I82" si="36">J77</f>
        <v>628.26</v>
      </c>
      <c r="J77" s="503">
        <v>628.26</v>
      </c>
      <c r="K77" s="407">
        <f t="shared" si="35"/>
        <v>99.43308611963117</v>
      </c>
      <c r="L77" s="733">
        <f t="shared" si="33"/>
        <v>631.84199999999998</v>
      </c>
      <c r="M77" s="407">
        <f t="shared" si="30"/>
        <v>100</v>
      </c>
      <c r="N77" s="418"/>
      <c r="O77" s="418"/>
      <c r="P77" s="713" t="s">
        <v>558</v>
      </c>
      <c r="Q77" s="255">
        <v>1</v>
      </c>
      <c r="R77" s="255">
        <v>1</v>
      </c>
      <c r="S77" s="255"/>
      <c r="T77" s="397">
        <f t="shared" si="31"/>
        <v>3.5819999999999936</v>
      </c>
      <c r="U77" s="491">
        <f t="shared" si="34"/>
        <v>0</v>
      </c>
      <c r="V77" s="491"/>
      <c r="AC77" s="491"/>
    </row>
    <row r="78" spans="1:29" ht="31.2">
      <c r="A78" s="284">
        <v>10</v>
      </c>
      <c r="B78" s="286" t="s">
        <v>350</v>
      </c>
      <c r="C78" s="414" t="s">
        <v>532</v>
      </c>
      <c r="D78" s="402">
        <v>8022246</v>
      </c>
      <c r="E78" s="406">
        <v>3000</v>
      </c>
      <c r="F78" s="406">
        <v>3000</v>
      </c>
      <c r="G78" s="334">
        <v>835.84299999999996</v>
      </c>
      <c r="H78" s="415">
        <v>1100</v>
      </c>
      <c r="I78" s="334">
        <f t="shared" si="36"/>
        <v>1100</v>
      </c>
      <c r="J78" s="503">
        <v>1100</v>
      </c>
      <c r="K78" s="407">
        <f t="shared" si="35"/>
        <v>100</v>
      </c>
      <c r="L78" s="733">
        <f t="shared" si="33"/>
        <v>1100</v>
      </c>
      <c r="M78" s="407">
        <f t="shared" si="30"/>
        <v>100</v>
      </c>
      <c r="N78" s="418"/>
      <c r="O78" s="418">
        <v>2</v>
      </c>
      <c r="P78" s="713" t="s">
        <v>558</v>
      </c>
      <c r="Q78" s="255">
        <v>1</v>
      </c>
      <c r="R78" s="255">
        <v>1</v>
      </c>
      <c r="S78" s="255"/>
      <c r="T78" s="397">
        <f t="shared" si="31"/>
        <v>0</v>
      </c>
      <c r="U78" s="491">
        <f t="shared" si="34"/>
        <v>0</v>
      </c>
      <c r="V78" s="491"/>
      <c r="AC78" s="491"/>
    </row>
    <row r="79" spans="1:29" ht="31.2">
      <c r="A79" s="284">
        <v>11</v>
      </c>
      <c r="B79" s="286" t="s">
        <v>351</v>
      </c>
      <c r="C79" s="414" t="s">
        <v>532</v>
      </c>
      <c r="D79" s="402">
        <v>8029466</v>
      </c>
      <c r="E79" s="421">
        <v>1500</v>
      </c>
      <c r="F79" s="421">
        <v>1500</v>
      </c>
      <c r="G79" s="334"/>
      <c r="H79" s="415">
        <v>450</v>
      </c>
      <c r="I79" s="334">
        <f t="shared" si="36"/>
        <v>263.76100000000002</v>
      </c>
      <c r="J79" s="503">
        <v>263.76100000000002</v>
      </c>
      <c r="K79" s="407">
        <f t="shared" si="35"/>
        <v>58.613555555555564</v>
      </c>
      <c r="L79" s="733">
        <f t="shared" si="33"/>
        <v>450</v>
      </c>
      <c r="M79" s="407">
        <f t="shared" si="30"/>
        <v>100</v>
      </c>
      <c r="N79" s="418"/>
      <c r="O79" s="418">
        <v>2</v>
      </c>
      <c r="P79" s="715"/>
      <c r="Q79" s="255">
        <v>1</v>
      </c>
      <c r="R79" s="255">
        <v>1</v>
      </c>
      <c r="S79" s="255"/>
      <c r="T79" s="397">
        <f t="shared" si="31"/>
        <v>186.23899999999998</v>
      </c>
      <c r="U79" s="491">
        <f t="shared" si="34"/>
        <v>0</v>
      </c>
      <c r="V79" s="491"/>
      <c r="AC79" s="491"/>
    </row>
    <row r="80" spans="1:29" ht="31.2">
      <c r="A80" s="284">
        <v>12</v>
      </c>
      <c r="B80" s="286" t="s">
        <v>352</v>
      </c>
      <c r="C80" s="414" t="s">
        <v>532</v>
      </c>
      <c r="D80" s="402">
        <v>8025352</v>
      </c>
      <c r="E80" s="421">
        <v>3000</v>
      </c>
      <c r="F80" s="421">
        <v>3000</v>
      </c>
      <c r="G80" s="334">
        <v>490</v>
      </c>
      <c r="H80" s="415">
        <v>900</v>
      </c>
      <c r="I80" s="334">
        <f t="shared" si="36"/>
        <v>900</v>
      </c>
      <c r="J80" s="503">
        <v>900</v>
      </c>
      <c r="K80" s="407">
        <f t="shared" si="35"/>
        <v>100</v>
      </c>
      <c r="L80" s="733">
        <f t="shared" si="33"/>
        <v>900</v>
      </c>
      <c r="M80" s="407">
        <f t="shared" si="30"/>
        <v>100</v>
      </c>
      <c r="N80" s="418"/>
      <c r="O80" s="418"/>
      <c r="P80" s="715"/>
      <c r="Q80" s="255">
        <v>1</v>
      </c>
      <c r="R80" s="255">
        <v>1</v>
      </c>
      <c r="S80" s="255"/>
      <c r="T80" s="397">
        <f t="shared" si="31"/>
        <v>0</v>
      </c>
      <c r="U80" s="491">
        <f t="shared" si="34"/>
        <v>0</v>
      </c>
      <c r="V80" s="491"/>
      <c r="AC80" s="491"/>
    </row>
    <row r="81" spans="1:29" ht="31.2">
      <c r="A81" s="284">
        <v>13</v>
      </c>
      <c r="B81" s="286" t="s">
        <v>353</v>
      </c>
      <c r="C81" s="414" t="s">
        <v>185</v>
      </c>
      <c r="D81" s="402">
        <v>8018416</v>
      </c>
      <c r="E81" s="421">
        <v>2200</v>
      </c>
      <c r="F81" s="421">
        <v>2200</v>
      </c>
      <c r="G81" s="334"/>
      <c r="H81" s="415">
        <v>650</v>
      </c>
      <c r="I81" s="334">
        <f t="shared" si="36"/>
        <v>650</v>
      </c>
      <c r="J81" s="503">
        <f>H81</f>
        <v>650</v>
      </c>
      <c r="K81" s="407">
        <f t="shared" si="35"/>
        <v>100</v>
      </c>
      <c r="L81" s="733">
        <f t="shared" si="33"/>
        <v>650</v>
      </c>
      <c r="M81" s="407">
        <f t="shared" si="30"/>
        <v>100</v>
      </c>
      <c r="N81" s="417"/>
      <c r="O81" s="417">
        <v>2</v>
      </c>
      <c r="P81" s="715"/>
      <c r="Q81" s="255">
        <v>1</v>
      </c>
      <c r="R81" s="255">
        <v>1</v>
      </c>
      <c r="S81" s="255">
        <v>1</v>
      </c>
      <c r="T81" s="397">
        <f t="shared" si="31"/>
        <v>0</v>
      </c>
      <c r="U81" s="491">
        <f t="shared" si="34"/>
        <v>0</v>
      </c>
      <c r="V81" s="491"/>
      <c r="AC81" s="491"/>
    </row>
    <row r="82" spans="1:29">
      <c r="A82" s="284">
        <v>14</v>
      </c>
      <c r="B82" s="297" t="s">
        <v>389</v>
      </c>
      <c r="C82" s="414" t="s">
        <v>185</v>
      </c>
      <c r="D82" s="402">
        <v>8023042</v>
      </c>
      <c r="E82" s="421">
        <v>900</v>
      </c>
      <c r="F82" s="421">
        <v>300</v>
      </c>
      <c r="G82" s="334"/>
      <c r="H82" s="415">
        <v>300</v>
      </c>
      <c r="I82" s="334">
        <f t="shared" si="36"/>
        <v>267.40300000000002</v>
      </c>
      <c r="J82" s="503">
        <v>267.40300000000002</v>
      </c>
      <c r="K82" s="407">
        <f t="shared" si="35"/>
        <v>89.134333333333331</v>
      </c>
      <c r="L82" s="733">
        <f t="shared" si="33"/>
        <v>300</v>
      </c>
      <c r="M82" s="407">
        <f t="shared" si="30"/>
        <v>100</v>
      </c>
      <c r="N82" s="417"/>
      <c r="O82" s="417">
        <v>2</v>
      </c>
      <c r="P82" s="718" t="s">
        <v>534</v>
      </c>
      <c r="Q82" s="255">
        <v>1</v>
      </c>
      <c r="R82" s="255">
        <v>1</v>
      </c>
      <c r="S82" s="255">
        <v>1</v>
      </c>
      <c r="T82" s="397">
        <f t="shared" si="31"/>
        <v>32.59699999999998</v>
      </c>
      <c r="U82" s="491">
        <f t="shared" si="34"/>
        <v>0</v>
      </c>
      <c r="V82" s="491"/>
      <c r="AC82" s="491"/>
    </row>
    <row r="83" spans="1:29">
      <c r="A83" s="284">
        <v>15</v>
      </c>
      <c r="B83" s="286" t="s">
        <v>354</v>
      </c>
      <c r="C83" s="414" t="s">
        <v>183</v>
      </c>
      <c r="D83" s="402">
        <v>8018935</v>
      </c>
      <c r="E83" s="421">
        <v>550</v>
      </c>
      <c r="F83" s="421">
        <v>550</v>
      </c>
      <c r="G83" s="334"/>
      <c r="H83" s="415">
        <v>200</v>
      </c>
      <c r="I83" s="334">
        <v>200</v>
      </c>
      <c r="J83" s="503">
        <v>200</v>
      </c>
      <c r="K83" s="407">
        <f t="shared" si="35"/>
        <v>100</v>
      </c>
      <c r="L83" s="733">
        <f t="shared" si="33"/>
        <v>200</v>
      </c>
      <c r="M83" s="407">
        <f t="shared" ref="M83:M114" si="37">L83/H83*100</f>
        <v>100</v>
      </c>
      <c r="N83" s="227"/>
      <c r="O83" s="227"/>
      <c r="P83" s="715"/>
      <c r="Q83" s="255">
        <v>1</v>
      </c>
      <c r="R83" s="255">
        <v>1</v>
      </c>
      <c r="S83" s="255">
        <v>1</v>
      </c>
      <c r="T83" s="397">
        <f t="shared" si="31"/>
        <v>0</v>
      </c>
      <c r="U83" s="491">
        <f t="shared" si="34"/>
        <v>0</v>
      </c>
      <c r="V83" s="491"/>
      <c r="AC83" s="491"/>
    </row>
    <row r="84" spans="1:29">
      <c r="A84" s="284">
        <v>16</v>
      </c>
      <c r="B84" s="286" t="s">
        <v>355</v>
      </c>
      <c r="C84" s="414" t="s">
        <v>182</v>
      </c>
      <c r="D84" s="402">
        <v>8017102</v>
      </c>
      <c r="E84" s="421">
        <v>1700</v>
      </c>
      <c r="F84" s="421">
        <v>1700</v>
      </c>
      <c r="G84" s="334"/>
      <c r="H84" s="415">
        <v>500</v>
      </c>
      <c r="I84" s="334">
        <v>500</v>
      </c>
      <c r="J84" s="503">
        <v>488</v>
      </c>
      <c r="K84" s="407">
        <f t="shared" si="35"/>
        <v>97.6</v>
      </c>
      <c r="L84" s="733">
        <f t="shared" si="33"/>
        <v>500</v>
      </c>
      <c r="M84" s="407">
        <f t="shared" si="37"/>
        <v>100</v>
      </c>
      <c r="N84" s="417"/>
      <c r="O84" s="417">
        <v>2</v>
      </c>
      <c r="P84" s="715"/>
      <c r="Q84" s="255">
        <v>1</v>
      </c>
      <c r="R84" s="255">
        <v>1</v>
      </c>
      <c r="S84" s="255">
        <v>1</v>
      </c>
      <c r="T84" s="397">
        <f t="shared" si="31"/>
        <v>12</v>
      </c>
      <c r="U84" s="491">
        <f t="shared" si="34"/>
        <v>12</v>
      </c>
      <c r="V84" s="491"/>
      <c r="AC84" s="491"/>
    </row>
    <row r="85" spans="1:29" s="254" customFormat="1" ht="31.2">
      <c r="A85" s="280" t="s">
        <v>18</v>
      </c>
      <c r="B85" s="289" t="s">
        <v>227</v>
      </c>
      <c r="C85" s="252"/>
      <c r="D85" s="252"/>
      <c r="E85" s="333">
        <f>E86+E88</f>
        <v>11500</v>
      </c>
      <c r="F85" s="333">
        <f>F86+F88</f>
        <v>11500</v>
      </c>
      <c r="G85" s="333">
        <f>G86+G88</f>
        <v>4934</v>
      </c>
      <c r="H85" s="333">
        <f>H86+H88</f>
        <v>3566</v>
      </c>
      <c r="I85" s="333">
        <f t="shared" ref="I85:L85" si="38">I86+I88</f>
        <v>2996.8810000000003</v>
      </c>
      <c r="J85" s="682">
        <f t="shared" si="38"/>
        <v>2996.8810000000003</v>
      </c>
      <c r="K85" s="395">
        <f t="shared" si="35"/>
        <v>84.040409422321943</v>
      </c>
      <c r="L85" s="333">
        <f t="shared" si="38"/>
        <v>3566</v>
      </c>
      <c r="M85" s="407">
        <f t="shared" si="37"/>
        <v>100</v>
      </c>
      <c r="N85" s="220"/>
      <c r="O85" s="220"/>
      <c r="P85" s="709"/>
      <c r="Q85" s="253"/>
      <c r="R85" s="253"/>
      <c r="S85" s="253"/>
      <c r="T85" s="397">
        <f t="shared" si="31"/>
        <v>569.11899999999969</v>
      </c>
      <c r="U85" s="491">
        <f t="shared" si="34"/>
        <v>0</v>
      </c>
      <c r="V85" s="491"/>
      <c r="AC85" s="491"/>
    </row>
    <row r="86" spans="1:29" s="254" customFormat="1" ht="32.4">
      <c r="A86" s="290">
        <v>1</v>
      </c>
      <c r="B86" s="291" t="s">
        <v>228</v>
      </c>
      <c r="C86" s="252"/>
      <c r="D86" s="252"/>
      <c r="E86" s="343">
        <f>E87</f>
        <v>10000</v>
      </c>
      <c r="F86" s="343">
        <f>F87</f>
        <v>10000</v>
      </c>
      <c r="G86" s="343">
        <f>G87</f>
        <v>4000</v>
      </c>
      <c r="H86" s="343">
        <f t="shared" ref="H86:L86" si="39">H87</f>
        <v>3000</v>
      </c>
      <c r="I86" s="343">
        <f t="shared" si="39"/>
        <v>2507.3330000000001</v>
      </c>
      <c r="J86" s="504">
        <f t="shared" si="39"/>
        <v>2507.3330000000001</v>
      </c>
      <c r="K86" s="395">
        <f t="shared" si="35"/>
        <v>83.577766666666662</v>
      </c>
      <c r="L86" s="343">
        <f t="shared" si="39"/>
        <v>3000</v>
      </c>
      <c r="M86" s="407">
        <f t="shared" si="37"/>
        <v>100</v>
      </c>
      <c r="N86" s="373"/>
      <c r="O86" s="373"/>
      <c r="P86" s="709"/>
      <c r="Q86" s="253"/>
      <c r="R86" s="253"/>
      <c r="S86" s="253"/>
      <c r="T86" s="397">
        <f t="shared" si="31"/>
        <v>492.66699999999992</v>
      </c>
      <c r="U86" s="491">
        <f t="shared" si="34"/>
        <v>0</v>
      </c>
      <c r="V86" s="491"/>
      <c r="AC86" s="491"/>
    </row>
    <row r="87" spans="1:29" ht="46.8">
      <c r="A87" s="292" t="s">
        <v>35</v>
      </c>
      <c r="B87" s="293" t="s">
        <v>229</v>
      </c>
      <c r="C87" s="414" t="s">
        <v>532</v>
      </c>
      <c r="D87" s="402">
        <v>7992024</v>
      </c>
      <c r="E87" s="334">
        <v>10000</v>
      </c>
      <c r="F87" s="334">
        <v>10000</v>
      </c>
      <c r="G87" s="334">
        <v>4000</v>
      </c>
      <c r="H87" s="415">
        <v>3000</v>
      </c>
      <c r="I87" s="334">
        <f>J87</f>
        <v>2507.3330000000001</v>
      </c>
      <c r="J87" s="503">
        <f>1942.333+565</f>
        <v>2507.3330000000001</v>
      </c>
      <c r="K87" s="407">
        <f t="shared" si="35"/>
        <v>83.577766666666662</v>
      </c>
      <c r="L87" s="733">
        <f>H87</f>
        <v>3000</v>
      </c>
      <c r="M87" s="407">
        <f t="shared" si="37"/>
        <v>100</v>
      </c>
      <c r="N87" s="418"/>
      <c r="O87" s="418"/>
      <c r="P87" s="713" t="s">
        <v>565</v>
      </c>
      <c r="Q87" s="255">
        <v>1</v>
      </c>
      <c r="R87" s="255"/>
      <c r="S87" s="255"/>
      <c r="T87" s="397">
        <f t="shared" si="31"/>
        <v>492.66699999999992</v>
      </c>
      <c r="U87" s="491">
        <f t="shared" si="34"/>
        <v>0</v>
      </c>
      <c r="V87" s="491"/>
      <c r="AC87" s="491"/>
    </row>
    <row r="88" spans="1:29" s="254" customFormat="1" ht="16.2">
      <c r="A88" s="290">
        <v>2</v>
      </c>
      <c r="B88" s="291" t="s">
        <v>230</v>
      </c>
      <c r="C88" s="252"/>
      <c r="D88" s="340"/>
      <c r="E88" s="343">
        <f>E89</f>
        <v>1500</v>
      </c>
      <c r="F88" s="343">
        <f>F89</f>
        <v>1500</v>
      </c>
      <c r="G88" s="343">
        <f>G89</f>
        <v>934</v>
      </c>
      <c r="H88" s="343">
        <f t="shared" ref="H88:L88" si="40">H89</f>
        <v>566</v>
      </c>
      <c r="I88" s="343">
        <f t="shared" si="40"/>
        <v>489.548</v>
      </c>
      <c r="J88" s="504">
        <f t="shared" si="40"/>
        <v>489.548</v>
      </c>
      <c r="K88" s="395">
        <f t="shared" si="35"/>
        <v>86.492579505300355</v>
      </c>
      <c r="L88" s="343">
        <f t="shared" si="40"/>
        <v>566</v>
      </c>
      <c r="M88" s="407">
        <f t="shared" si="37"/>
        <v>100</v>
      </c>
      <c r="N88" s="373"/>
      <c r="O88" s="373"/>
      <c r="P88" s="709"/>
      <c r="Q88" s="253"/>
      <c r="R88" s="253"/>
      <c r="S88" s="253"/>
      <c r="T88" s="397">
        <f t="shared" si="31"/>
        <v>76.451999999999998</v>
      </c>
      <c r="U88" s="491">
        <f t="shared" si="34"/>
        <v>0</v>
      </c>
      <c r="V88" s="491"/>
      <c r="AC88" s="491"/>
    </row>
    <row r="89" spans="1:29" ht="46.8">
      <c r="A89" s="294" t="s">
        <v>35</v>
      </c>
      <c r="B89" s="295" t="s">
        <v>231</v>
      </c>
      <c r="C89" s="414" t="s">
        <v>532</v>
      </c>
      <c r="D89" s="402">
        <v>8004519</v>
      </c>
      <c r="E89" s="334">
        <v>1500</v>
      </c>
      <c r="F89" s="334">
        <v>1500</v>
      </c>
      <c r="G89" s="334">
        <v>934</v>
      </c>
      <c r="H89" s="415">
        <v>566</v>
      </c>
      <c r="I89" s="334">
        <f>J89</f>
        <v>489.548</v>
      </c>
      <c r="J89" s="503">
        <v>489.548</v>
      </c>
      <c r="K89" s="407">
        <f t="shared" si="35"/>
        <v>86.492579505300355</v>
      </c>
      <c r="L89" s="733">
        <f>H89</f>
        <v>566</v>
      </c>
      <c r="M89" s="407">
        <f t="shared" si="37"/>
        <v>100</v>
      </c>
      <c r="N89" s="418"/>
      <c r="O89" s="418"/>
      <c r="P89" s="710"/>
      <c r="Q89" s="255">
        <v>1</v>
      </c>
      <c r="R89" s="255"/>
      <c r="S89" s="255"/>
      <c r="T89" s="397">
        <f t="shared" si="31"/>
        <v>76.451999999999998</v>
      </c>
      <c r="U89" s="491">
        <f t="shared" si="34"/>
        <v>0</v>
      </c>
      <c r="V89" s="491"/>
      <c r="AC89" s="491"/>
    </row>
    <row r="90" spans="1:29" s="254" customFormat="1" ht="31.2">
      <c r="A90" s="264" t="s">
        <v>20</v>
      </c>
      <c r="B90" s="225" t="s">
        <v>232</v>
      </c>
      <c r="C90" s="252"/>
      <c r="D90" s="252"/>
      <c r="E90" s="333">
        <f t="shared" ref="E90:J90" si="41">E91+E134+E142+E220+E231+E244</f>
        <v>291112.48200000002</v>
      </c>
      <c r="F90" s="333">
        <f t="shared" si="41"/>
        <v>201891.1</v>
      </c>
      <c r="G90" s="333">
        <f t="shared" si="41"/>
        <v>40046.959999999999</v>
      </c>
      <c r="H90" s="333">
        <f t="shared" si="41"/>
        <v>74079</v>
      </c>
      <c r="I90" s="333">
        <f t="shared" si="41"/>
        <v>47133.328569000005</v>
      </c>
      <c r="J90" s="682">
        <f t="shared" si="41"/>
        <v>46748.130569000008</v>
      </c>
      <c r="K90" s="395">
        <f t="shared" si="35"/>
        <v>63.105779733797718</v>
      </c>
      <c r="L90" s="333">
        <f>L91+L134+L142+L220+L231+L244</f>
        <v>71849</v>
      </c>
      <c r="M90" s="395">
        <f t="shared" si="37"/>
        <v>96.989700184937703</v>
      </c>
      <c r="N90" s="259"/>
      <c r="O90" s="259"/>
      <c r="P90" s="709"/>
      <c r="Q90" s="253">
        <f>SUM(Q92:Q249)</f>
        <v>66</v>
      </c>
      <c r="R90" s="253">
        <f t="shared" ref="R90:S90" si="42">SUM(R92:R249)</f>
        <v>40</v>
      </c>
      <c r="S90" s="253">
        <f t="shared" si="42"/>
        <v>20</v>
      </c>
      <c r="T90" s="397">
        <f t="shared" si="31"/>
        <v>27330.869430999992</v>
      </c>
      <c r="U90" s="491">
        <f t="shared" si="34"/>
        <v>385.19799999999668</v>
      </c>
      <c r="V90" s="491"/>
      <c r="AC90" s="491"/>
    </row>
    <row r="91" spans="1:29" s="254" customFormat="1" ht="31.2">
      <c r="A91" s="264" t="s">
        <v>9</v>
      </c>
      <c r="B91" s="194" t="s">
        <v>233</v>
      </c>
      <c r="C91" s="263"/>
      <c r="D91" s="252"/>
      <c r="E91" s="333">
        <f>E92+E105+E117+E125</f>
        <v>115381.5</v>
      </c>
      <c r="F91" s="333">
        <f t="shared" ref="F91:L91" si="43">F92+F105+F117+F125</f>
        <v>52484</v>
      </c>
      <c r="G91" s="333">
        <f t="shared" si="43"/>
        <v>15463</v>
      </c>
      <c r="H91" s="333">
        <f t="shared" si="43"/>
        <v>11940</v>
      </c>
      <c r="I91" s="333">
        <f t="shared" si="43"/>
        <v>6289.2839999999997</v>
      </c>
      <c r="J91" s="682">
        <f t="shared" si="43"/>
        <v>6289.2839999999997</v>
      </c>
      <c r="K91" s="395">
        <f t="shared" si="35"/>
        <v>52.674070351758793</v>
      </c>
      <c r="L91" s="333">
        <f t="shared" si="43"/>
        <v>9710</v>
      </c>
      <c r="M91" s="395">
        <f t="shared" si="37"/>
        <v>81.32328308207704</v>
      </c>
      <c r="N91" s="271"/>
      <c r="O91" s="271"/>
      <c r="P91" s="709"/>
      <c r="Q91" s="253"/>
      <c r="R91" s="253"/>
      <c r="S91" s="253"/>
      <c r="T91" s="397">
        <f t="shared" ref="T91:T122" si="44">H91-J91</f>
        <v>5650.7160000000003</v>
      </c>
      <c r="U91" s="491">
        <f t="shared" si="34"/>
        <v>0</v>
      </c>
      <c r="V91" s="491"/>
      <c r="AC91" s="491"/>
    </row>
    <row r="92" spans="1:29" s="254" customFormat="1">
      <c r="A92" s="264" t="s">
        <v>234</v>
      </c>
      <c r="B92" s="296" t="s">
        <v>235</v>
      </c>
      <c r="C92" s="227"/>
      <c r="D92" s="252"/>
      <c r="E92" s="333">
        <f>SUM(E93:E104)</f>
        <v>36435</v>
      </c>
      <c r="F92" s="333">
        <f t="shared" ref="F92:H92" si="45">SUM(F93:F104)</f>
        <v>13880</v>
      </c>
      <c r="G92" s="333">
        <f t="shared" si="45"/>
        <v>3880</v>
      </c>
      <c r="H92" s="333">
        <f t="shared" si="45"/>
        <v>2280</v>
      </c>
      <c r="I92" s="333">
        <f t="shared" ref="I92" si="46">SUM(I93:I104)</f>
        <v>40</v>
      </c>
      <c r="J92" s="682">
        <f t="shared" ref="J92" si="47">SUM(J93:J104)</f>
        <v>40</v>
      </c>
      <c r="K92" s="395">
        <f t="shared" si="35"/>
        <v>1.7543859649122806</v>
      </c>
      <c r="L92" s="333">
        <f t="shared" ref="L92" si="48">SUM(L93:L104)</f>
        <v>1160</v>
      </c>
      <c r="M92" s="395">
        <f t="shared" si="37"/>
        <v>50.877192982456144</v>
      </c>
      <c r="N92" s="271"/>
      <c r="O92" s="271"/>
      <c r="P92" s="709"/>
      <c r="Q92" s="253"/>
      <c r="R92" s="253"/>
      <c r="S92" s="253"/>
      <c r="T92" s="397">
        <f t="shared" si="44"/>
        <v>2240</v>
      </c>
      <c r="U92" s="491">
        <f t="shared" si="34"/>
        <v>0</v>
      </c>
      <c r="V92" s="491"/>
      <c r="AC92" s="491"/>
    </row>
    <row r="93" spans="1:29">
      <c r="A93" s="271" t="s">
        <v>35</v>
      </c>
      <c r="B93" s="297" t="s">
        <v>356</v>
      </c>
      <c r="C93" s="227" t="s">
        <v>298</v>
      </c>
      <c r="D93" s="402">
        <v>8006662</v>
      </c>
      <c r="E93" s="334">
        <v>210</v>
      </c>
      <c r="F93" s="334">
        <v>80</v>
      </c>
      <c r="G93" s="334">
        <v>0</v>
      </c>
      <c r="H93" s="415">
        <v>80</v>
      </c>
      <c r="I93" s="334">
        <v>40</v>
      </c>
      <c r="J93" s="503">
        <v>40</v>
      </c>
      <c r="K93" s="407">
        <f t="shared" si="35"/>
        <v>50</v>
      </c>
      <c r="L93" s="733">
        <f t="shared" ref="L93" si="49">H93</f>
        <v>80</v>
      </c>
      <c r="M93" s="407">
        <f t="shared" si="37"/>
        <v>100</v>
      </c>
      <c r="N93" s="271"/>
      <c r="O93" s="271"/>
      <c r="P93" s="710"/>
      <c r="Q93" s="255"/>
      <c r="R93" s="255"/>
      <c r="S93" s="255"/>
      <c r="T93" s="397">
        <f t="shared" si="44"/>
        <v>40</v>
      </c>
      <c r="U93" s="491">
        <f t="shared" si="34"/>
        <v>0</v>
      </c>
      <c r="V93" s="491"/>
      <c r="AC93" s="491"/>
    </row>
    <row r="94" spans="1:29">
      <c r="A94" s="271" t="s">
        <v>35</v>
      </c>
      <c r="B94" s="297" t="s">
        <v>236</v>
      </c>
      <c r="C94" s="227" t="s">
        <v>298</v>
      </c>
      <c r="D94" s="402">
        <v>8006662</v>
      </c>
      <c r="E94" s="334">
        <v>2415</v>
      </c>
      <c r="F94" s="334">
        <v>920</v>
      </c>
      <c r="G94" s="334">
        <v>360</v>
      </c>
      <c r="H94" s="415">
        <v>200</v>
      </c>
      <c r="I94" s="334"/>
      <c r="J94" s="503"/>
      <c r="K94" s="407">
        <f t="shared" si="35"/>
        <v>0</v>
      </c>
      <c r="L94" s="733">
        <v>100</v>
      </c>
      <c r="M94" s="407">
        <f t="shared" si="37"/>
        <v>50</v>
      </c>
      <c r="N94" s="271"/>
      <c r="O94" s="271"/>
      <c r="P94" s="710"/>
      <c r="Q94" s="255"/>
      <c r="R94" s="255"/>
      <c r="S94" s="255"/>
      <c r="T94" s="397">
        <f t="shared" si="44"/>
        <v>200</v>
      </c>
      <c r="U94" s="491">
        <f t="shared" si="34"/>
        <v>0</v>
      </c>
      <c r="V94" s="491"/>
      <c r="AC94" s="491"/>
    </row>
    <row r="95" spans="1:29">
      <c r="A95" s="271" t="s">
        <v>35</v>
      </c>
      <c r="B95" s="297" t="s">
        <v>237</v>
      </c>
      <c r="C95" s="227" t="s">
        <v>298</v>
      </c>
      <c r="D95" s="402">
        <v>8006662</v>
      </c>
      <c r="E95" s="334">
        <v>2940</v>
      </c>
      <c r="F95" s="334">
        <v>1120</v>
      </c>
      <c r="G95" s="334">
        <v>200</v>
      </c>
      <c r="H95" s="415">
        <v>200</v>
      </c>
      <c r="I95" s="334"/>
      <c r="J95" s="503"/>
      <c r="K95" s="407">
        <f t="shared" si="35"/>
        <v>0</v>
      </c>
      <c r="L95" s="733">
        <v>100</v>
      </c>
      <c r="M95" s="407">
        <f t="shared" si="37"/>
        <v>50</v>
      </c>
      <c r="N95" s="271"/>
      <c r="O95" s="271"/>
      <c r="P95" s="710"/>
      <c r="Q95" s="255"/>
      <c r="R95" s="255"/>
      <c r="S95" s="255"/>
      <c r="T95" s="397">
        <f t="shared" si="44"/>
        <v>200</v>
      </c>
      <c r="U95" s="491">
        <f t="shared" si="34"/>
        <v>0</v>
      </c>
      <c r="V95" s="491"/>
      <c r="AC95" s="491"/>
    </row>
    <row r="96" spans="1:29">
      <c r="A96" s="271" t="s">
        <v>35</v>
      </c>
      <c r="B96" s="297" t="s">
        <v>238</v>
      </c>
      <c r="C96" s="227" t="s">
        <v>298</v>
      </c>
      <c r="D96" s="402">
        <v>8006662</v>
      </c>
      <c r="E96" s="334">
        <v>2205</v>
      </c>
      <c r="F96" s="334">
        <v>840</v>
      </c>
      <c r="G96" s="334">
        <v>120</v>
      </c>
      <c r="H96" s="415">
        <v>160</v>
      </c>
      <c r="I96" s="334"/>
      <c r="J96" s="503"/>
      <c r="K96" s="407">
        <f t="shared" si="35"/>
        <v>0</v>
      </c>
      <c r="L96" s="733">
        <v>80</v>
      </c>
      <c r="M96" s="407">
        <f t="shared" si="37"/>
        <v>50</v>
      </c>
      <c r="N96" s="271"/>
      <c r="O96" s="271"/>
      <c r="P96" s="710"/>
      <c r="Q96" s="255"/>
      <c r="R96" s="255"/>
      <c r="S96" s="255"/>
      <c r="T96" s="397">
        <f t="shared" si="44"/>
        <v>160</v>
      </c>
      <c r="U96" s="491">
        <f t="shared" si="34"/>
        <v>0</v>
      </c>
      <c r="V96" s="491"/>
      <c r="AC96" s="491"/>
    </row>
    <row r="97" spans="1:29">
      <c r="A97" s="271" t="s">
        <v>35</v>
      </c>
      <c r="B97" s="297" t="s">
        <v>239</v>
      </c>
      <c r="C97" s="227" t="s">
        <v>298</v>
      </c>
      <c r="D97" s="402">
        <v>8006662</v>
      </c>
      <c r="E97" s="334">
        <v>6405</v>
      </c>
      <c r="F97" s="334">
        <v>2440</v>
      </c>
      <c r="G97" s="334">
        <v>560</v>
      </c>
      <c r="H97" s="415">
        <v>200</v>
      </c>
      <c r="I97" s="334"/>
      <c r="J97" s="503"/>
      <c r="K97" s="407">
        <f t="shared" si="35"/>
        <v>0</v>
      </c>
      <c r="L97" s="733">
        <v>100</v>
      </c>
      <c r="M97" s="407">
        <f t="shared" si="37"/>
        <v>50</v>
      </c>
      <c r="N97" s="271"/>
      <c r="O97" s="271"/>
      <c r="P97" s="710"/>
      <c r="Q97" s="255"/>
      <c r="R97" s="255"/>
      <c r="S97" s="255"/>
      <c r="T97" s="397">
        <f t="shared" si="44"/>
        <v>200</v>
      </c>
      <c r="U97" s="491">
        <f t="shared" si="34"/>
        <v>0</v>
      </c>
      <c r="V97" s="491"/>
      <c r="AC97" s="491"/>
    </row>
    <row r="98" spans="1:29">
      <c r="A98" s="271" t="s">
        <v>35</v>
      </c>
      <c r="B98" s="297" t="s">
        <v>240</v>
      </c>
      <c r="C98" s="227" t="s">
        <v>182</v>
      </c>
      <c r="D98" s="402">
        <v>8004992</v>
      </c>
      <c r="E98" s="334">
        <v>5565</v>
      </c>
      <c r="F98" s="334">
        <v>2120</v>
      </c>
      <c r="G98" s="334">
        <v>480</v>
      </c>
      <c r="H98" s="415">
        <v>200</v>
      </c>
      <c r="I98" s="334"/>
      <c r="J98" s="503"/>
      <c r="K98" s="407">
        <f t="shared" si="35"/>
        <v>0</v>
      </c>
      <c r="L98" s="733">
        <v>100</v>
      </c>
      <c r="M98" s="407">
        <f t="shared" si="37"/>
        <v>50</v>
      </c>
      <c r="N98" s="271"/>
      <c r="O98" s="271"/>
      <c r="P98" s="710"/>
      <c r="Q98" s="255"/>
      <c r="R98" s="255"/>
      <c r="S98" s="255"/>
      <c r="T98" s="397">
        <f t="shared" si="44"/>
        <v>200</v>
      </c>
      <c r="U98" s="491">
        <f t="shared" si="34"/>
        <v>0</v>
      </c>
      <c r="V98" s="491"/>
      <c r="AC98" s="491"/>
    </row>
    <row r="99" spans="1:29">
      <c r="A99" s="271" t="s">
        <v>35</v>
      </c>
      <c r="B99" s="297" t="s">
        <v>241</v>
      </c>
      <c r="C99" s="227" t="s">
        <v>298</v>
      </c>
      <c r="D99" s="402">
        <v>8006662</v>
      </c>
      <c r="E99" s="334">
        <v>3150</v>
      </c>
      <c r="F99" s="334">
        <v>1200</v>
      </c>
      <c r="G99" s="334">
        <v>400</v>
      </c>
      <c r="H99" s="415">
        <v>200</v>
      </c>
      <c r="I99" s="334"/>
      <c r="J99" s="503"/>
      <c r="K99" s="407">
        <f t="shared" si="35"/>
        <v>0</v>
      </c>
      <c r="L99" s="733">
        <v>100</v>
      </c>
      <c r="M99" s="407">
        <f t="shared" si="37"/>
        <v>50</v>
      </c>
      <c r="N99" s="271"/>
      <c r="O99" s="271"/>
      <c r="P99" s="710"/>
      <c r="Q99" s="255"/>
      <c r="R99" s="255"/>
      <c r="S99" s="255"/>
      <c r="T99" s="397">
        <f t="shared" si="44"/>
        <v>200</v>
      </c>
      <c r="U99" s="491">
        <f t="shared" si="34"/>
        <v>0</v>
      </c>
      <c r="V99" s="491"/>
      <c r="AC99" s="491"/>
    </row>
    <row r="100" spans="1:29" ht="31.2">
      <c r="A100" s="271" t="s">
        <v>35</v>
      </c>
      <c r="B100" s="297" t="s">
        <v>242</v>
      </c>
      <c r="C100" s="227" t="s">
        <v>292</v>
      </c>
      <c r="D100" s="402">
        <v>7998824</v>
      </c>
      <c r="E100" s="334">
        <v>2835</v>
      </c>
      <c r="F100" s="334">
        <v>1080</v>
      </c>
      <c r="G100" s="334">
        <v>0</v>
      </c>
      <c r="H100" s="415">
        <v>200</v>
      </c>
      <c r="I100" s="334"/>
      <c r="J100" s="503"/>
      <c r="K100" s="407">
        <f t="shared" si="35"/>
        <v>0</v>
      </c>
      <c r="L100" s="733">
        <v>100</v>
      </c>
      <c r="M100" s="407">
        <f t="shared" si="37"/>
        <v>50</v>
      </c>
      <c r="N100" s="271"/>
      <c r="O100" s="271"/>
      <c r="P100" s="710"/>
      <c r="Q100" s="255"/>
      <c r="R100" s="255"/>
      <c r="S100" s="255"/>
      <c r="T100" s="397">
        <f t="shared" si="44"/>
        <v>200</v>
      </c>
      <c r="U100" s="491">
        <f t="shared" si="34"/>
        <v>0</v>
      </c>
      <c r="V100" s="491"/>
      <c r="AC100" s="491"/>
    </row>
    <row r="101" spans="1:29">
      <c r="A101" s="271" t="s">
        <v>35</v>
      </c>
      <c r="B101" s="297" t="s">
        <v>243</v>
      </c>
      <c r="C101" s="227" t="s">
        <v>298</v>
      </c>
      <c r="D101" s="402">
        <v>8006662</v>
      </c>
      <c r="E101" s="334">
        <v>2415</v>
      </c>
      <c r="F101" s="334">
        <v>920</v>
      </c>
      <c r="G101" s="334">
        <v>320</v>
      </c>
      <c r="H101" s="415">
        <v>200</v>
      </c>
      <c r="I101" s="334"/>
      <c r="J101" s="503"/>
      <c r="K101" s="407">
        <f t="shared" si="35"/>
        <v>0</v>
      </c>
      <c r="L101" s="733">
        <v>100</v>
      </c>
      <c r="M101" s="407">
        <f t="shared" si="37"/>
        <v>50</v>
      </c>
      <c r="N101" s="271"/>
      <c r="O101" s="271"/>
      <c r="P101" s="710"/>
      <c r="Q101" s="255"/>
      <c r="R101" s="255"/>
      <c r="S101" s="255"/>
      <c r="T101" s="397">
        <f t="shared" si="44"/>
        <v>200</v>
      </c>
      <c r="U101" s="491">
        <f t="shared" si="34"/>
        <v>0</v>
      </c>
      <c r="V101" s="491"/>
      <c r="AC101" s="491"/>
    </row>
    <row r="102" spans="1:29">
      <c r="A102" s="271" t="s">
        <v>35</v>
      </c>
      <c r="B102" s="297" t="s">
        <v>244</v>
      </c>
      <c r="C102" s="227" t="s">
        <v>298</v>
      </c>
      <c r="D102" s="402">
        <v>8006662</v>
      </c>
      <c r="E102" s="334">
        <v>5250</v>
      </c>
      <c r="F102" s="334">
        <v>2000</v>
      </c>
      <c r="G102" s="334">
        <v>720</v>
      </c>
      <c r="H102" s="415">
        <v>200</v>
      </c>
      <c r="I102" s="334"/>
      <c r="J102" s="503"/>
      <c r="K102" s="407">
        <f t="shared" si="35"/>
        <v>0</v>
      </c>
      <c r="L102" s="733">
        <v>100</v>
      </c>
      <c r="M102" s="407">
        <f t="shared" si="37"/>
        <v>50</v>
      </c>
      <c r="N102" s="271"/>
      <c r="O102" s="271"/>
      <c r="P102" s="710"/>
      <c r="Q102" s="255"/>
      <c r="R102" s="255"/>
      <c r="S102" s="255"/>
      <c r="T102" s="397">
        <f t="shared" si="44"/>
        <v>200</v>
      </c>
      <c r="U102" s="491">
        <f t="shared" si="34"/>
        <v>0</v>
      </c>
      <c r="V102" s="491"/>
      <c r="AC102" s="491"/>
    </row>
    <row r="103" spans="1:29">
      <c r="A103" s="271" t="s">
        <v>35</v>
      </c>
      <c r="B103" s="297" t="s">
        <v>245</v>
      </c>
      <c r="C103" s="227" t="s">
        <v>298</v>
      </c>
      <c r="D103" s="402">
        <v>8006662</v>
      </c>
      <c r="E103" s="334">
        <v>1575</v>
      </c>
      <c r="F103" s="334">
        <v>600</v>
      </c>
      <c r="G103" s="334">
        <v>400</v>
      </c>
      <c r="H103" s="415">
        <v>200</v>
      </c>
      <c r="I103" s="334"/>
      <c r="J103" s="503"/>
      <c r="K103" s="407">
        <f t="shared" si="35"/>
        <v>0</v>
      </c>
      <c r="L103" s="733">
        <v>100</v>
      </c>
      <c r="M103" s="407">
        <f t="shared" si="37"/>
        <v>50</v>
      </c>
      <c r="N103" s="271"/>
      <c r="O103" s="271"/>
      <c r="P103" s="710"/>
      <c r="Q103" s="255"/>
      <c r="R103" s="255"/>
      <c r="S103" s="255"/>
      <c r="T103" s="397">
        <f t="shared" si="44"/>
        <v>200</v>
      </c>
      <c r="U103" s="491">
        <f t="shared" si="34"/>
        <v>0</v>
      </c>
      <c r="V103" s="491"/>
      <c r="AC103" s="491"/>
    </row>
    <row r="104" spans="1:29" s="254" customFormat="1">
      <c r="A104" s="271" t="s">
        <v>35</v>
      </c>
      <c r="B104" s="297" t="s">
        <v>246</v>
      </c>
      <c r="C104" s="227" t="s">
        <v>298</v>
      </c>
      <c r="D104" s="402">
        <v>8006662</v>
      </c>
      <c r="E104" s="334">
        <v>1470</v>
      </c>
      <c r="F104" s="334">
        <v>560</v>
      </c>
      <c r="G104" s="334">
        <v>320</v>
      </c>
      <c r="H104" s="415">
        <v>240</v>
      </c>
      <c r="I104" s="333"/>
      <c r="J104" s="682"/>
      <c r="K104" s="407">
        <f t="shared" si="35"/>
        <v>0</v>
      </c>
      <c r="L104" s="733">
        <v>100</v>
      </c>
      <c r="M104" s="407">
        <f t="shared" si="37"/>
        <v>41.666666666666671</v>
      </c>
      <c r="N104" s="271"/>
      <c r="O104" s="271"/>
      <c r="P104" s="709"/>
      <c r="Q104" s="255"/>
      <c r="R104" s="255"/>
      <c r="S104" s="253"/>
      <c r="T104" s="397">
        <f t="shared" si="44"/>
        <v>240</v>
      </c>
      <c r="U104" s="491">
        <f t="shared" si="34"/>
        <v>0</v>
      </c>
      <c r="V104" s="491"/>
      <c r="AC104" s="491"/>
    </row>
    <row r="105" spans="1:29">
      <c r="A105" s="264" t="s">
        <v>247</v>
      </c>
      <c r="B105" s="296" t="s">
        <v>248</v>
      </c>
      <c r="C105" s="263"/>
      <c r="D105" s="252"/>
      <c r="E105" s="333">
        <f>SUM(E106:E116)</f>
        <v>53485</v>
      </c>
      <c r="F105" s="333">
        <f t="shared" ref="F105:L105" si="50">SUM(F106:F116)</f>
        <v>22520</v>
      </c>
      <c r="G105" s="333">
        <f t="shared" si="50"/>
        <v>6288</v>
      </c>
      <c r="H105" s="333">
        <f t="shared" si="50"/>
        <v>2720</v>
      </c>
      <c r="I105" s="333">
        <f t="shared" si="50"/>
        <v>1264</v>
      </c>
      <c r="J105" s="682">
        <f t="shared" si="50"/>
        <v>1264</v>
      </c>
      <c r="K105" s="395">
        <f t="shared" si="35"/>
        <v>46.470588235294116</v>
      </c>
      <c r="L105" s="333">
        <f t="shared" si="50"/>
        <v>2600</v>
      </c>
      <c r="M105" s="395">
        <f t="shared" si="37"/>
        <v>95.588235294117652</v>
      </c>
      <c r="N105" s="271"/>
      <c r="O105" s="271"/>
      <c r="P105" s="710"/>
      <c r="Q105" s="255"/>
      <c r="R105" s="255"/>
      <c r="S105" s="255"/>
      <c r="T105" s="397">
        <f t="shared" si="44"/>
        <v>1456</v>
      </c>
      <c r="U105" s="491">
        <f t="shared" si="34"/>
        <v>0</v>
      </c>
      <c r="V105" s="491"/>
      <c r="AC105" s="491"/>
    </row>
    <row r="106" spans="1:29" ht="31.2">
      <c r="A106" s="271" t="s">
        <v>35</v>
      </c>
      <c r="B106" s="297" t="s">
        <v>356</v>
      </c>
      <c r="C106" s="227" t="s">
        <v>287</v>
      </c>
      <c r="D106" s="402">
        <v>8024467</v>
      </c>
      <c r="E106" s="334">
        <v>2280</v>
      </c>
      <c r="F106" s="334">
        <v>960</v>
      </c>
      <c r="G106" s="334">
        <v>0</v>
      </c>
      <c r="H106" s="415">
        <v>400</v>
      </c>
      <c r="I106" s="334">
        <f>J106</f>
        <v>400</v>
      </c>
      <c r="J106" s="503">
        <v>400</v>
      </c>
      <c r="K106" s="407">
        <f t="shared" si="35"/>
        <v>100</v>
      </c>
      <c r="L106" s="733">
        <f t="shared" ref="L106:L116" si="51">H106</f>
        <v>400</v>
      </c>
      <c r="M106" s="407">
        <f t="shared" si="37"/>
        <v>100</v>
      </c>
      <c r="N106" s="271"/>
      <c r="O106" s="271"/>
      <c r="P106" s="710"/>
      <c r="Q106" s="255"/>
      <c r="R106" s="255"/>
      <c r="S106" s="255"/>
      <c r="T106" s="397">
        <f t="shared" si="44"/>
        <v>0</v>
      </c>
      <c r="U106" s="491">
        <f t="shared" si="34"/>
        <v>0</v>
      </c>
      <c r="V106" s="491"/>
      <c r="AC106" s="491"/>
    </row>
    <row r="107" spans="1:29">
      <c r="A107" s="271" t="s">
        <v>35</v>
      </c>
      <c r="B107" s="297" t="s">
        <v>236</v>
      </c>
      <c r="C107" s="227" t="s">
        <v>289</v>
      </c>
      <c r="D107" s="378">
        <v>8001188</v>
      </c>
      <c r="E107" s="334">
        <v>2755</v>
      </c>
      <c r="F107" s="334">
        <v>1160</v>
      </c>
      <c r="G107" s="334">
        <v>484</v>
      </c>
      <c r="H107" s="415">
        <v>200</v>
      </c>
      <c r="I107" s="334">
        <f t="shared" ref="I107:I116" si="52">J107</f>
        <v>0</v>
      </c>
      <c r="J107" s="503"/>
      <c r="K107" s="407">
        <f t="shared" si="35"/>
        <v>0</v>
      </c>
      <c r="L107" s="733">
        <v>80</v>
      </c>
      <c r="M107" s="407">
        <f t="shared" si="37"/>
        <v>40</v>
      </c>
      <c r="N107" s="271"/>
      <c r="O107" s="271"/>
      <c r="P107" s="710"/>
      <c r="Q107" s="255"/>
      <c r="R107" s="255"/>
      <c r="S107" s="255"/>
      <c r="T107" s="397">
        <f t="shared" si="44"/>
        <v>200</v>
      </c>
      <c r="U107" s="491">
        <f t="shared" si="34"/>
        <v>0</v>
      </c>
      <c r="V107" s="491"/>
      <c r="AC107" s="491"/>
    </row>
    <row r="108" spans="1:29">
      <c r="A108" s="271" t="s">
        <v>35</v>
      </c>
      <c r="B108" s="297" t="s">
        <v>237</v>
      </c>
      <c r="C108" s="227" t="s">
        <v>290</v>
      </c>
      <c r="D108" s="402">
        <v>7999810</v>
      </c>
      <c r="E108" s="334">
        <v>5700</v>
      </c>
      <c r="F108" s="334">
        <v>2400</v>
      </c>
      <c r="G108" s="334">
        <v>400</v>
      </c>
      <c r="H108" s="415">
        <v>200</v>
      </c>
      <c r="I108" s="334">
        <f t="shared" si="52"/>
        <v>0</v>
      </c>
      <c r="J108" s="503"/>
      <c r="K108" s="407">
        <f t="shared" si="35"/>
        <v>0</v>
      </c>
      <c r="L108" s="733">
        <f t="shared" si="51"/>
        <v>200</v>
      </c>
      <c r="M108" s="407">
        <f t="shared" si="37"/>
        <v>100</v>
      </c>
      <c r="N108" s="271"/>
      <c r="O108" s="271"/>
      <c r="P108" s="710"/>
      <c r="Q108" s="255"/>
      <c r="R108" s="255"/>
      <c r="S108" s="255"/>
      <c r="T108" s="397">
        <f t="shared" si="44"/>
        <v>200</v>
      </c>
      <c r="U108" s="491">
        <f t="shared" si="34"/>
        <v>0</v>
      </c>
      <c r="V108" s="491"/>
      <c r="AC108" s="491"/>
    </row>
    <row r="109" spans="1:29">
      <c r="A109" s="271" t="s">
        <v>35</v>
      </c>
      <c r="B109" s="297" t="s">
        <v>238</v>
      </c>
      <c r="C109" s="227" t="s">
        <v>293</v>
      </c>
      <c r="D109" s="402">
        <v>7999806</v>
      </c>
      <c r="E109" s="334">
        <v>1900</v>
      </c>
      <c r="F109" s="334">
        <v>800</v>
      </c>
      <c r="G109" s="334">
        <v>280</v>
      </c>
      <c r="H109" s="415">
        <v>120</v>
      </c>
      <c r="I109" s="334">
        <f t="shared" si="52"/>
        <v>80</v>
      </c>
      <c r="J109" s="503">
        <v>80</v>
      </c>
      <c r="K109" s="407">
        <f t="shared" si="35"/>
        <v>66.666666666666657</v>
      </c>
      <c r="L109" s="733">
        <f t="shared" si="51"/>
        <v>120</v>
      </c>
      <c r="M109" s="407">
        <f t="shared" si="37"/>
        <v>100</v>
      </c>
      <c r="N109" s="271"/>
      <c r="O109" s="271"/>
      <c r="P109" s="710"/>
      <c r="Q109" s="255"/>
      <c r="R109" s="255"/>
      <c r="S109" s="255"/>
      <c r="T109" s="397">
        <f t="shared" si="44"/>
        <v>40</v>
      </c>
      <c r="U109" s="491">
        <f t="shared" si="34"/>
        <v>0</v>
      </c>
      <c r="V109" s="491"/>
      <c r="AC109" s="491"/>
    </row>
    <row r="110" spans="1:29">
      <c r="A110" s="271" t="s">
        <v>35</v>
      </c>
      <c r="B110" s="297" t="s">
        <v>239</v>
      </c>
      <c r="C110" s="227" t="s">
        <v>294</v>
      </c>
      <c r="D110" s="402">
        <v>8007050</v>
      </c>
      <c r="E110" s="334">
        <v>4940</v>
      </c>
      <c r="F110" s="334">
        <v>2080</v>
      </c>
      <c r="G110" s="334">
        <v>800</v>
      </c>
      <c r="H110" s="415">
        <v>400</v>
      </c>
      <c r="I110" s="334">
        <f t="shared" si="52"/>
        <v>0</v>
      </c>
      <c r="J110" s="503"/>
      <c r="K110" s="407">
        <f t="shared" si="35"/>
        <v>0</v>
      </c>
      <c r="L110" s="733">
        <f t="shared" si="51"/>
        <v>400</v>
      </c>
      <c r="M110" s="407">
        <f t="shared" si="37"/>
        <v>100</v>
      </c>
      <c r="N110" s="271"/>
      <c r="O110" s="271"/>
      <c r="P110" s="710"/>
      <c r="Q110" s="255"/>
      <c r="R110" s="255"/>
      <c r="S110" s="255"/>
      <c r="T110" s="397">
        <f t="shared" si="44"/>
        <v>400</v>
      </c>
      <c r="U110" s="491">
        <f t="shared" si="34"/>
        <v>0</v>
      </c>
      <c r="V110" s="491"/>
      <c r="AC110" s="491"/>
    </row>
    <row r="111" spans="1:29">
      <c r="A111" s="271" t="s">
        <v>35</v>
      </c>
      <c r="B111" s="297" t="s">
        <v>240</v>
      </c>
      <c r="C111" s="227" t="s">
        <v>295</v>
      </c>
      <c r="D111" s="402">
        <v>8004993</v>
      </c>
      <c r="E111" s="334">
        <v>5795</v>
      </c>
      <c r="F111" s="334">
        <v>2440</v>
      </c>
      <c r="G111" s="334">
        <v>1248</v>
      </c>
      <c r="H111" s="415">
        <v>400</v>
      </c>
      <c r="I111" s="334">
        <f t="shared" si="52"/>
        <v>280</v>
      </c>
      <c r="J111" s="503">
        <v>280</v>
      </c>
      <c r="K111" s="407">
        <f t="shared" si="35"/>
        <v>70</v>
      </c>
      <c r="L111" s="733">
        <f t="shared" si="51"/>
        <v>400</v>
      </c>
      <c r="M111" s="407">
        <f t="shared" si="37"/>
        <v>100</v>
      </c>
      <c r="N111" s="271"/>
      <c r="O111" s="271"/>
      <c r="P111" s="710"/>
      <c r="Q111" s="255"/>
      <c r="R111" s="255"/>
      <c r="S111" s="255"/>
      <c r="T111" s="397">
        <f t="shared" si="44"/>
        <v>120</v>
      </c>
      <c r="U111" s="491">
        <f t="shared" si="34"/>
        <v>0</v>
      </c>
      <c r="V111" s="491"/>
      <c r="AC111" s="491"/>
    </row>
    <row r="112" spans="1:29">
      <c r="A112" s="271" t="s">
        <v>35</v>
      </c>
      <c r="B112" s="297" t="s">
        <v>241</v>
      </c>
      <c r="C112" s="227" t="s">
        <v>296</v>
      </c>
      <c r="D112" s="402">
        <v>8000799</v>
      </c>
      <c r="E112" s="334">
        <v>3135</v>
      </c>
      <c r="F112" s="334">
        <v>1320</v>
      </c>
      <c r="G112" s="334">
        <v>400</v>
      </c>
      <c r="H112" s="415">
        <v>200</v>
      </c>
      <c r="I112" s="334">
        <f t="shared" si="52"/>
        <v>200</v>
      </c>
      <c r="J112" s="503">
        <v>200</v>
      </c>
      <c r="K112" s="407">
        <f t="shared" si="35"/>
        <v>100</v>
      </c>
      <c r="L112" s="733">
        <f t="shared" si="51"/>
        <v>200</v>
      </c>
      <c r="M112" s="407">
        <f t="shared" si="37"/>
        <v>100</v>
      </c>
      <c r="N112" s="271"/>
      <c r="O112" s="271"/>
      <c r="P112" s="710"/>
      <c r="Q112" s="255"/>
      <c r="R112" s="255"/>
      <c r="S112" s="255"/>
      <c r="T112" s="397">
        <f t="shared" si="44"/>
        <v>0</v>
      </c>
      <c r="U112" s="491">
        <f t="shared" si="34"/>
        <v>0</v>
      </c>
      <c r="V112" s="491"/>
      <c r="AC112" s="491"/>
    </row>
    <row r="113" spans="1:29" ht="31.2">
      <c r="A113" s="271" t="s">
        <v>35</v>
      </c>
      <c r="B113" s="297" t="s">
        <v>242</v>
      </c>
      <c r="C113" s="227" t="s">
        <v>292</v>
      </c>
      <c r="D113" s="402">
        <v>7998822</v>
      </c>
      <c r="E113" s="334">
        <v>9785</v>
      </c>
      <c r="F113" s="334">
        <v>4120</v>
      </c>
      <c r="G113" s="334">
        <v>932</v>
      </c>
      <c r="H113" s="415">
        <v>200</v>
      </c>
      <c r="I113" s="334">
        <f t="shared" si="52"/>
        <v>140</v>
      </c>
      <c r="J113" s="503">
        <v>140</v>
      </c>
      <c r="K113" s="407">
        <f t="shared" si="35"/>
        <v>70</v>
      </c>
      <c r="L113" s="733">
        <f t="shared" si="51"/>
        <v>200</v>
      </c>
      <c r="M113" s="407">
        <f t="shared" si="37"/>
        <v>100</v>
      </c>
      <c r="N113" s="271"/>
      <c r="O113" s="271"/>
      <c r="P113" s="710"/>
      <c r="Q113" s="255"/>
      <c r="R113" s="255"/>
      <c r="S113" s="255"/>
      <c r="T113" s="397">
        <f t="shared" si="44"/>
        <v>60</v>
      </c>
      <c r="U113" s="491">
        <f t="shared" si="34"/>
        <v>0</v>
      </c>
      <c r="V113" s="491"/>
      <c r="AC113" s="491"/>
    </row>
    <row r="114" spans="1:29">
      <c r="A114" s="271" t="s">
        <v>35</v>
      </c>
      <c r="B114" s="297" t="s">
        <v>243</v>
      </c>
      <c r="C114" s="227" t="s">
        <v>291</v>
      </c>
      <c r="D114" s="402">
        <v>8004998</v>
      </c>
      <c r="E114" s="334">
        <v>6460</v>
      </c>
      <c r="F114" s="334">
        <v>2720</v>
      </c>
      <c r="G114" s="334">
        <v>540</v>
      </c>
      <c r="H114" s="415">
        <v>200</v>
      </c>
      <c r="I114" s="334">
        <f t="shared" si="52"/>
        <v>164</v>
      </c>
      <c r="J114" s="503">
        <v>164</v>
      </c>
      <c r="K114" s="407">
        <f t="shared" si="35"/>
        <v>82</v>
      </c>
      <c r="L114" s="733">
        <f t="shared" si="51"/>
        <v>200</v>
      </c>
      <c r="M114" s="407">
        <f t="shared" si="37"/>
        <v>100</v>
      </c>
      <c r="N114" s="271"/>
      <c r="O114" s="271"/>
      <c r="P114" s="710"/>
      <c r="Q114" s="255"/>
      <c r="R114" s="255"/>
      <c r="S114" s="255"/>
      <c r="T114" s="397">
        <f t="shared" si="44"/>
        <v>36</v>
      </c>
      <c r="U114" s="491">
        <f t="shared" si="34"/>
        <v>0</v>
      </c>
      <c r="V114" s="491"/>
      <c r="AC114" s="491"/>
    </row>
    <row r="115" spans="1:29">
      <c r="A115" s="271" t="s">
        <v>35</v>
      </c>
      <c r="B115" s="297" t="s">
        <v>244</v>
      </c>
      <c r="C115" s="227" t="s">
        <v>297</v>
      </c>
      <c r="D115" s="402">
        <v>7999807</v>
      </c>
      <c r="E115" s="334">
        <v>3895</v>
      </c>
      <c r="F115" s="334">
        <v>1640</v>
      </c>
      <c r="G115" s="334">
        <v>720</v>
      </c>
      <c r="H115" s="415">
        <v>200</v>
      </c>
      <c r="I115" s="334">
        <f t="shared" si="52"/>
        <v>0</v>
      </c>
      <c r="J115" s="503"/>
      <c r="K115" s="407">
        <f t="shared" si="35"/>
        <v>0</v>
      </c>
      <c r="L115" s="733">
        <f t="shared" si="51"/>
        <v>200</v>
      </c>
      <c r="M115" s="407">
        <f t="shared" ref="M115:M146" si="53">L115/H115*100</f>
        <v>100</v>
      </c>
      <c r="N115" s="271"/>
      <c r="O115" s="271"/>
      <c r="P115" s="710"/>
      <c r="Q115" s="255"/>
      <c r="R115" s="255"/>
      <c r="S115" s="255"/>
      <c r="T115" s="397">
        <f t="shared" si="44"/>
        <v>200</v>
      </c>
      <c r="U115" s="491">
        <f t="shared" si="34"/>
        <v>0</v>
      </c>
      <c r="V115" s="491"/>
      <c r="AC115" s="491"/>
    </row>
    <row r="116" spans="1:29" s="254" customFormat="1">
      <c r="A116" s="271" t="s">
        <v>35</v>
      </c>
      <c r="B116" s="297" t="s">
        <v>245</v>
      </c>
      <c r="C116" s="227" t="s">
        <v>288</v>
      </c>
      <c r="D116" s="402">
        <v>8000798</v>
      </c>
      <c r="E116" s="334">
        <v>6840</v>
      </c>
      <c r="F116" s="334">
        <v>2880</v>
      </c>
      <c r="G116" s="334">
        <v>484</v>
      </c>
      <c r="H116" s="415">
        <v>200</v>
      </c>
      <c r="I116" s="334">
        <f t="shared" si="52"/>
        <v>0</v>
      </c>
      <c r="J116" s="682"/>
      <c r="K116" s="407">
        <f t="shared" si="35"/>
        <v>0</v>
      </c>
      <c r="L116" s="733">
        <f t="shared" si="51"/>
        <v>200</v>
      </c>
      <c r="M116" s="407">
        <f t="shared" si="53"/>
        <v>100</v>
      </c>
      <c r="N116" s="271"/>
      <c r="O116" s="271"/>
      <c r="P116" s="709"/>
      <c r="Q116" s="255"/>
      <c r="R116" s="255"/>
      <c r="S116" s="253"/>
      <c r="T116" s="397">
        <f t="shared" si="44"/>
        <v>200</v>
      </c>
      <c r="U116" s="491">
        <f t="shared" si="34"/>
        <v>0</v>
      </c>
      <c r="V116" s="491"/>
      <c r="AC116" s="491"/>
    </row>
    <row r="117" spans="1:29">
      <c r="A117" s="264" t="s">
        <v>250</v>
      </c>
      <c r="B117" s="296" t="s">
        <v>251</v>
      </c>
      <c r="C117" s="227"/>
      <c r="D117" s="402"/>
      <c r="E117" s="333">
        <f>SUM(E118:E124)</f>
        <v>12100</v>
      </c>
      <c r="F117" s="333">
        <f t="shared" ref="F117:L117" si="54">SUM(F118:F124)</f>
        <v>2722.5</v>
      </c>
      <c r="G117" s="333">
        <f t="shared" si="54"/>
        <v>0</v>
      </c>
      <c r="H117" s="333">
        <f t="shared" si="54"/>
        <v>990</v>
      </c>
      <c r="I117" s="333">
        <f t="shared" si="54"/>
        <v>0</v>
      </c>
      <c r="J117" s="682">
        <f t="shared" si="54"/>
        <v>0</v>
      </c>
      <c r="K117" s="395">
        <f t="shared" si="35"/>
        <v>0</v>
      </c>
      <c r="L117" s="333">
        <f t="shared" si="54"/>
        <v>0</v>
      </c>
      <c r="M117" s="395">
        <f t="shared" si="53"/>
        <v>0</v>
      </c>
      <c r="N117" s="271"/>
      <c r="O117" s="271"/>
      <c r="P117" s="710"/>
      <c r="Q117" s="255"/>
      <c r="R117" s="255"/>
      <c r="S117" s="255"/>
      <c r="T117" s="397">
        <f t="shared" si="44"/>
        <v>990</v>
      </c>
      <c r="U117" s="491">
        <f t="shared" si="34"/>
        <v>0</v>
      </c>
      <c r="V117" s="491"/>
      <c r="AC117" s="491"/>
    </row>
    <row r="118" spans="1:29">
      <c r="A118" s="271" t="s">
        <v>35</v>
      </c>
      <c r="B118" s="297" t="s">
        <v>236</v>
      </c>
      <c r="C118" s="227" t="s">
        <v>298</v>
      </c>
      <c r="D118" s="422" t="s">
        <v>555</v>
      </c>
      <c r="E118" s="334">
        <v>3500</v>
      </c>
      <c r="F118" s="334">
        <v>787.5</v>
      </c>
      <c r="G118" s="334">
        <v>0</v>
      </c>
      <c r="H118" s="415">
        <v>180</v>
      </c>
      <c r="I118" s="334"/>
      <c r="J118" s="503"/>
      <c r="K118" s="407">
        <f t="shared" si="35"/>
        <v>0</v>
      </c>
      <c r="L118" s="733"/>
      <c r="M118" s="407">
        <f t="shared" si="53"/>
        <v>0</v>
      </c>
      <c r="N118" s="271"/>
      <c r="O118" s="271"/>
      <c r="P118" s="710"/>
      <c r="Q118" s="255"/>
      <c r="R118" s="255"/>
      <c r="S118" s="255"/>
      <c r="T118" s="397">
        <f t="shared" si="44"/>
        <v>180</v>
      </c>
      <c r="U118" s="491">
        <f t="shared" si="34"/>
        <v>0</v>
      </c>
      <c r="V118" s="491"/>
      <c r="AC118" s="491"/>
    </row>
    <row r="119" spans="1:29">
      <c r="A119" s="271" t="s">
        <v>35</v>
      </c>
      <c r="B119" s="297" t="s">
        <v>237</v>
      </c>
      <c r="C119" s="227" t="s">
        <v>298</v>
      </c>
      <c r="D119" s="422" t="s">
        <v>555</v>
      </c>
      <c r="E119" s="334">
        <v>1800</v>
      </c>
      <c r="F119" s="334">
        <v>405</v>
      </c>
      <c r="G119" s="334">
        <v>0</v>
      </c>
      <c r="H119" s="415">
        <v>112.5</v>
      </c>
      <c r="I119" s="334"/>
      <c r="J119" s="503"/>
      <c r="K119" s="407">
        <f t="shared" si="35"/>
        <v>0</v>
      </c>
      <c r="L119" s="733"/>
      <c r="M119" s="407">
        <f t="shared" si="53"/>
        <v>0</v>
      </c>
      <c r="N119" s="271"/>
      <c r="O119" s="271"/>
      <c r="P119" s="710"/>
      <c r="Q119" s="255"/>
      <c r="R119" s="255"/>
      <c r="S119" s="255"/>
      <c r="T119" s="397">
        <f t="shared" si="44"/>
        <v>112.5</v>
      </c>
      <c r="U119" s="491">
        <f t="shared" si="34"/>
        <v>0</v>
      </c>
      <c r="V119" s="491"/>
      <c r="AC119" s="491"/>
    </row>
    <row r="120" spans="1:29">
      <c r="A120" s="271" t="s">
        <v>35</v>
      </c>
      <c r="B120" s="297" t="s">
        <v>240</v>
      </c>
      <c r="C120" s="227" t="s">
        <v>182</v>
      </c>
      <c r="D120" s="402">
        <v>8004991</v>
      </c>
      <c r="E120" s="334">
        <v>2700</v>
      </c>
      <c r="F120" s="334">
        <v>607.5</v>
      </c>
      <c r="G120" s="334">
        <v>0</v>
      </c>
      <c r="H120" s="415">
        <v>112.5</v>
      </c>
      <c r="I120" s="334"/>
      <c r="J120" s="503"/>
      <c r="K120" s="407">
        <f t="shared" si="35"/>
        <v>0</v>
      </c>
      <c r="L120" s="733"/>
      <c r="M120" s="407">
        <f t="shared" si="53"/>
        <v>0</v>
      </c>
      <c r="N120" s="271"/>
      <c r="O120" s="271"/>
      <c r="P120" s="710"/>
      <c r="Q120" s="255"/>
      <c r="R120" s="255"/>
      <c r="S120" s="255"/>
      <c r="T120" s="397">
        <f t="shared" si="44"/>
        <v>112.5</v>
      </c>
      <c r="U120" s="491">
        <f t="shared" si="34"/>
        <v>0</v>
      </c>
      <c r="V120" s="491"/>
      <c r="AC120" s="491"/>
    </row>
    <row r="121" spans="1:29" s="254" customFormat="1" ht="31.2">
      <c r="A121" s="271" t="s">
        <v>35</v>
      </c>
      <c r="B121" s="297" t="s">
        <v>242</v>
      </c>
      <c r="C121" s="227" t="s">
        <v>292</v>
      </c>
      <c r="D121" s="402">
        <v>7998823</v>
      </c>
      <c r="E121" s="334">
        <v>2000</v>
      </c>
      <c r="F121" s="334">
        <v>450</v>
      </c>
      <c r="G121" s="334">
        <v>0</v>
      </c>
      <c r="H121" s="415">
        <v>112.5</v>
      </c>
      <c r="I121" s="333"/>
      <c r="J121" s="682"/>
      <c r="K121" s="407">
        <f t="shared" si="35"/>
        <v>0</v>
      </c>
      <c r="L121" s="733"/>
      <c r="M121" s="407">
        <f t="shared" si="53"/>
        <v>0</v>
      </c>
      <c r="N121" s="271"/>
      <c r="O121" s="271"/>
      <c r="P121" s="709"/>
      <c r="Q121" s="255"/>
      <c r="R121" s="255"/>
      <c r="S121" s="253"/>
      <c r="T121" s="397">
        <f t="shared" si="44"/>
        <v>112.5</v>
      </c>
      <c r="U121" s="491">
        <f t="shared" si="34"/>
        <v>0</v>
      </c>
      <c r="V121" s="491"/>
      <c r="AC121" s="491"/>
    </row>
    <row r="122" spans="1:29">
      <c r="A122" s="271" t="s">
        <v>35</v>
      </c>
      <c r="B122" s="297" t="s">
        <v>357</v>
      </c>
      <c r="C122" s="227" t="s">
        <v>298</v>
      </c>
      <c r="D122" s="422" t="s">
        <v>555</v>
      </c>
      <c r="E122" s="334">
        <v>800</v>
      </c>
      <c r="F122" s="334">
        <v>180</v>
      </c>
      <c r="G122" s="334">
        <v>0</v>
      </c>
      <c r="H122" s="415">
        <v>180</v>
      </c>
      <c r="I122" s="334"/>
      <c r="J122" s="503"/>
      <c r="K122" s="407">
        <f t="shared" si="35"/>
        <v>0</v>
      </c>
      <c r="L122" s="733"/>
      <c r="M122" s="407">
        <f t="shared" si="53"/>
        <v>0</v>
      </c>
      <c r="N122" s="271"/>
      <c r="O122" s="271"/>
      <c r="P122" s="710"/>
      <c r="Q122" s="255"/>
      <c r="R122" s="255"/>
      <c r="S122" s="255"/>
      <c r="T122" s="397">
        <f t="shared" si="44"/>
        <v>180</v>
      </c>
      <c r="U122" s="491">
        <f t="shared" si="34"/>
        <v>0</v>
      </c>
      <c r="V122" s="491"/>
      <c r="AC122" s="491"/>
    </row>
    <row r="123" spans="1:29">
      <c r="A123" s="271" t="s">
        <v>35</v>
      </c>
      <c r="B123" s="297" t="s">
        <v>249</v>
      </c>
      <c r="C123" s="227" t="s">
        <v>298</v>
      </c>
      <c r="D123" s="422" t="s">
        <v>555</v>
      </c>
      <c r="E123" s="334">
        <v>600</v>
      </c>
      <c r="F123" s="334">
        <v>135</v>
      </c>
      <c r="G123" s="334">
        <v>0</v>
      </c>
      <c r="H123" s="415">
        <v>135</v>
      </c>
      <c r="I123" s="334"/>
      <c r="J123" s="503"/>
      <c r="K123" s="407">
        <f t="shared" si="35"/>
        <v>0</v>
      </c>
      <c r="L123" s="733"/>
      <c r="M123" s="407">
        <f t="shared" si="53"/>
        <v>0</v>
      </c>
      <c r="N123" s="271"/>
      <c r="O123" s="271"/>
      <c r="P123" s="710"/>
      <c r="Q123" s="255"/>
      <c r="R123" s="255"/>
      <c r="S123" s="255"/>
      <c r="T123" s="397">
        <f t="shared" ref="T123:T154" si="55">H123-J123</f>
        <v>135</v>
      </c>
      <c r="U123" s="491">
        <f t="shared" si="34"/>
        <v>0</v>
      </c>
      <c r="V123" s="491"/>
      <c r="AC123" s="491"/>
    </row>
    <row r="124" spans="1:29">
      <c r="A124" s="271" t="s">
        <v>35</v>
      </c>
      <c r="B124" s="297" t="s">
        <v>356</v>
      </c>
      <c r="C124" s="227" t="s">
        <v>298</v>
      </c>
      <c r="D124" s="422" t="s">
        <v>555</v>
      </c>
      <c r="E124" s="334">
        <v>700</v>
      </c>
      <c r="F124" s="334">
        <v>157.5</v>
      </c>
      <c r="G124" s="334">
        <v>0</v>
      </c>
      <c r="H124" s="415">
        <v>157.5</v>
      </c>
      <c r="I124" s="334"/>
      <c r="J124" s="503"/>
      <c r="K124" s="407">
        <f t="shared" si="35"/>
        <v>0</v>
      </c>
      <c r="L124" s="733"/>
      <c r="M124" s="407">
        <f t="shared" si="53"/>
        <v>0</v>
      </c>
      <c r="N124" s="271"/>
      <c r="O124" s="271"/>
      <c r="P124" s="710"/>
      <c r="Q124" s="255"/>
      <c r="R124" s="255"/>
      <c r="S124" s="255"/>
      <c r="T124" s="397">
        <f t="shared" si="55"/>
        <v>157.5</v>
      </c>
      <c r="U124" s="491">
        <f t="shared" si="34"/>
        <v>0</v>
      </c>
      <c r="V124" s="491"/>
      <c r="AC124" s="491"/>
    </row>
    <row r="125" spans="1:29" s="254" customFormat="1">
      <c r="A125" s="264" t="s">
        <v>252</v>
      </c>
      <c r="B125" s="194" t="s">
        <v>253</v>
      </c>
      <c r="C125" s="263"/>
      <c r="D125" s="402"/>
      <c r="E125" s="333">
        <f>E126+E130</f>
        <v>13361.5</v>
      </c>
      <c r="F125" s="333">
        <f t="shared" ref="F125:L125" si="56">F126+F130</f>
        <v>13361.5</v>
      </c>
      <c r="G125" s="333">
        <f t="shared" si="56"/>
        <v>5295</v>
      </c>
      <c r="H125" s="333">
        <f t="shared" si="56"/>
        <v>5950</v>
      </c>
      <c r="I125" s="333">
        <f t="shared" si="56"/>
        <v>4985.2839999999997</v>
      </c>
      <c r="J125" s="682">
        <f t="shared" si="56"/>
        <v>4985.2839999999997</v>
      </c>
      <c r="K125" s="395">
        <f t="shared" si="35"/>
        <v>83.786285714285711</v>
      </c>
      <c r="L125" s="333">
        <f t="shared" si="56"/>
        <v>5950</v>
      </c>
      <c r="M125" s="395">
        <f t="shared" si="53"/>
        <v>100</v>
      </c>
      <c r="N125" s="271"/>
      <c r="O125" s="271"/>
      <c r="P125" s="709"/>
      <c r="Q125" s="255"/>
      <c r="R125" s="255"/>
      <c r="S125" s="253"/>
      <c r="T125" s="397">
        <f t="shared" si="55"/>
        <v>964.71600000000035</v>
      </c>
      <c r="U125" s="491">
        <f t="shared" si="34"/>
        <v>0</v>
      </c>
      <c r="V125" s="491"/>
      <c r="AC125" s="491"/>
    </row>
    <row r="126" spans="1:29" s="254" customFormat="1" ht="16.2">
      <c r="A126" s="282" t="s">
        <v>11</v>
      </c>
      <c r="B126" s="283" t="s">
        <v>337</v>
      </c>
      <c r="C126" s="263"/>
      <c r="D126" s="252"/>
      <c r="E126" s="343">
        <f>SUM(E127:E129)</f>
        <v>8280</v>
      </c>
      <c r="F126" s="343">
        <f t="shared" ref="F126:L126" si="57">SUM(F127:F129)</f>
        <v>8280</v>
      </c>
      <c r="G126" s="343">
        <f t="shared" si="57"/>
        <v>4693</v>
      </c>
      <c r="H126" s="343">
        <f t="shared" si="57"/>
        <v>3033.0829999999996</v>
      </c>
      <c r="I126" s="343">
        <f t="shared" si="57"/>
        <v>2907.5309999999999</v>
      </c>
      <c r="J126" s="504">
        <f t="shared" si="57"/>
        <v>2907.5309999999999</v>
      </c>
      <c r="K126" s="395">
        <f t="shared" si="35"/>
        <v>95.860581461173339</v>
      </c>
      <c r="L126" s="343">
        <f t="shared" si="57"/>
        <v>3033.0829999999996</v>
      </c>
      <c r="M126" s="482">
        <f t="shared" si="53"/>
        <v>100</v>
      </c>
      <c r="N126" s="271"/>
      <c r="O126" s="271"/>
      <c r="P126" s="709"/>
      <c r="Q126" s="255"/>
      <c r="R126" s="255"/>
      <c r="S126" s="253"/>
      <c r="T126" s="397">
        <f t="shared" si="55"/>
        <v>125.55199999999968</v>
      </c>
      <c r="U126" s="491">
        <f t="shared" si="34"/>
        <v>0</v>
      </c>
      <c r="V126" s="491"/>
      <c r="AC126" s="491"/>
    </row>
    <row r="127" spans="1:29" ht="31.2">
      <c r="A127" s="271" t="s">
        <v>35</v>
      </c>
      <c r="B127" s="297" t="s">
        <v>358</v>
      </c>
      <c r="C127" s="227" t="s">
        <v>532</v>
      </c>
      <c r="D127" s="402">
        <v>8000356</v>
      </c>
      <c r="E127" s="334">
        <v>3000</v>
      </c>
      <c r="F127" s="334">
        <v>3000</v>
      </c>
      <c r="G127" s="334">
        <v>1500</v>
      </c>
      <c r="H127" s="415">
        <v>1136</v>
      </c>
      <c r="I127" s="334">
        <f>J127</f>
        <v>1065.991</v>
      </c>
      <c r="J127" s="503">
        <v>1065.991</v>
      </c>
      <c r="K127" s="407">
        <f t="shared" si="35"/>
        <v>93.837235915492954</v>
      </c>
      <c r="L127" s="415">
        <f>H127</f>
        <v>1136</v>
      </c>
      <c r="M127" s="407">
        <f t="shared" si="53"/>
        <v>100</v>
      </c>
      <c r="N127" s="418"/>
      <c r="O127" s="418"/>
      <c r="P127" s="821" t="s">
        <v>580</v>
      </c>
      <c r="Q127" s="255">
        <v>1</v>
      </c>
      <c r="R127" s="255"/>
      <c r="S127" s="255"/>
      <c r="T127" s="397">
        <f t="shared" si="55"/>
        <v>70.009000000000015</v>
      </c>
      <c r="U127" s="491">
        <f t="shared" si="34"/>
        <v>0</v>
      </c>
      <c r="V127" s="491"/>
      <c r="AC127" s="491"/>
    </row>
    <row r="128" spans="1:29" ht="31.2">
      <c r="A128" s="271" t="s">
        <v>35</v>
      </c>
      <c r="B128" s="297" t="s">
        <v>359</v>
      </c>
      <c r="C128" s="227" t="s">
        <v>532</v>
      </c>
      <c r="D128" s="402">
        <v>8002008</v>
      </c>
      <c r="E128" s="334">
        <v>3500</v>
      </c>
      <c r="F128" s="334">
        <v>3500</v>
      </c>
      <c r="G128" s="334">
        <v>1593</v>
      </c>
      <c r="H128" s="415">
        <v>1866.7090000000001</v>
      </c>
      <c r="I128" s="334">
        <f>J128</f>
        <v>1841.54</v>
      </c>
      <c r="J128" s="503">
        <v>1841.54</v>
      </c>
      <c r="K128" s="407">
        <f t="shared" si="35"/>
        <v>98.651691292001047</v>
      </c>
      <c r="L128" s="415">
        <f>H128</f>
        <v>1866.7090000000001</v>
      </c>
      <c r="M128" s="407">
        <f t="shared" si="53"/>
        <v>100</v>
      </c>
      <c r="N128" s="418"/>
      <c r="O128" s="418"/>
      <c r="P128" s="822"/>
      <c r="Q128" s="255">
        <v>1</v>
      </c>
      <c r="R128" s="255"/>
      <c r="S128" s="255"/>
      <c r="T128" s="397">
        <f t="shared" si="55"/>
        <v>25.169000000000096</v>
      </c>
      <c r="U128" s="491">
        <f t="shared" si="34"/>
        <v>0</v>
      </c>
      <c r="V128" s="491"/>
      <c r="AC128" s="491"/>
    </row>
    <row r="129" spans="1:29" s="254" customFormat="1" ht="31.2">
      <c r="A129" s="271" t="s">
        <v>35</v>
      </c>
      <c r="B129" s="297" t="s">
        <v>254</v>
      </c>
      <c r="C129" s="227" t="s">
        <v>532</v>
      </c>
      <c r="D129" s="402">
        <v>8000354</v>
      </c>
      <c r="E129" s="334">
        <v>1780</v>
      </c>
      <c r="F129" s="334">
        <v>1780</v>
      </c>
      <c r="G129" s="334">
        <v>1600</v>
      </c>
      <c r="H129" s="415">
        <v>30.373999999999999</v>
      </c>
      <c r="I129" s="333"/>
      <c r="J129" s="682"/>
      <c r="K129" s="407">
        <f t="shared" si="35"/>
        <v>0</v>
      </c>
      <c r="L129" s="415">
        <f>H129</f>
        <v>30.373999999999999</v>
      </c>
      <c r="M129" s="407">
        <f t="shared" si="53"/>
        <v>100</v>
      </c>
      <c r="N129" s="418"/>
      <c r="O129" s="418"/>
      <c r="P129" s="823"/>
      <c r="Q129" s="255">
        <v>1</v>
      </c>
      <c r="R129" s="255"/>
      <c r="S129" s="253"/>
      <c r="T129" s="397">
        <f t="shared" si="55"/>
        <v>30.373999999999999</v>
      </c>
      <c r="U129" s="491">
        <f t="shared" si="34"/>
        <v>0</v>
      </c>
      <c r="V129" s="491"/>
      <c r="AC129" s="491"/>
    </row>
    <row r="130" spans="1:29" s="344" customFormat="1" ht="16.2">
      <c r="A130" s="282" t="s">
        <v>11</v>
      </c>
      <c r="B130" s="423" t="s">
        <v>360</v>
      </c>
      <c r="C130" s="383"/>
      <c r="D130" s="420"/>
      <c r="E130" s="343">
        <f>SUM(E131:E133)</f>
        <v>5081.5</v>
      </c>
      <c r="F130" s="343">
        <f t="shared" ref="F130:L130" si="58">SUM(F131:F133)</f>
        <v>5081.5</v>
      </c>
      <c r="G130" s="343">
        <f t="shared" si="58"/>
        <v>602</v>
      </c>
      <c r="H130" s="343">
        <f t="shared" si="58"/>
        <v>2916.9169999999999</v>
      </c>
      <c r="I130" s="343">
        <f t="shared" si="58"/>
        <v>2077.7530000000002</v>
      </c>
      <c r="J130" s="504">
        <f t="shared" si="58"/>
        <v>2077.7530000000002</v>
      </c>
      <c r="K130" s="482">
        <f t="shared" si="35"/>
        <v>71.231132047980807</v>
      </c>
      <c r="L130" s="343">
        <f t="shared" si="58"/>
        <v>2916.9169999999999</v>
      </c>
      <c r="M130" s="482">
        <f t="shared" si="53"/>
        <v>100</v>
      </c>
      <c r="N130" s="298"/>
      <c r="O130" s="298"/>
      <c r="P130" s="717"/>
      <c r="Q130" s="257"/>
      <c r="R130" s="257"/>
      <c r="S130" s="257"/>
      <c r="T130" s="425">
        <f t="shared" si="55"/>
        <v>839.16399999999976</v>
      </c>
      <c r="U130" s="734">
        <f t="shared" si="34"/>
        <v>0</v>
      </c>
      <c r="V130" s="734"/>
      <c r="AC130" s="734"/>
    </row>
    <row r="131" spans="1:29" ht="31.2">
      <c r="A131" s="271" t="s">
        <v>35</v>
      </c>
      <c r="B131" s="297" t="s">
        <v>361</v>
      </c>
      <c r="C131" s="227" t="s">
        <v>532</v>
      </c>
      <c r="D131" s="402">
        <v>8031238</v>
      </c>
      <c r="E131" s="334">
        <v>1675</v>
      </c>
      <c r="F131" s="334">
        <v>1675</v>
      </c>
      <c r="G131" s="334">
        <v>0</v>
      </c>
      <c r="H131" s="415">
        <v>884.42899999999997</v>
      </c>
      <c r="I131" s="334">
        <f>J131</f>
        <v>879.41700000000003</v>
      </c>
      <c r="J131" s="503">
        <v>879.41700000000003</v>
      </c>
      <c r="K131" s="407">
        <f t="shared" si="35"/>
        <v>99.433306687139392</v>
      </c>
      <c r="L131" s="733">
        <f>H131</f>
        <v>884.42899999999997</v>
      </c>
      <c r="M131" s="407">
        <f t="shared" si="53"/>
        <v>100</v>
      </c>
      <c r="N131" s="418"/>
      <c r="O131" s="418"/>
      <c r="P131" s="821" t="s">
        <v>580</v>
      </c>
      <c r="Q131" s="255">
        <v>1</v>
      </c>
      <c r="R131" s="255">
        <v>1</v>
      </c>
      <c r="S131" s="255"/>
      <c r="T131" s="397">
        <f t="shared" si="55"/>
        <v>5.0119999999999436</v>
      </c>
      <c r="U131" s="491">
        <f t="shared" si="34"/>
        <v>0</v>
      </c>
      <c r="V131" s="491"/>
      <c r="AC131" s="491"/>
    </row>
    <row r="132" spans="1:29" ht="31.2">
      <c r="A132" s="271" t="s">
        <v>35</v>
      </c>
      <c r="B132" s="297" t="s">
        <v>362</v>
      </c>
      <c r="C132" s="227" t="s">
        <v>532</v>
      </c>
      <c r="D132" s="402">
        <v>8031108</v>
      </c>
      <c r="E132" s="334">
        <v>2206.5</v>
      </c>
      <c r="F132" s="334">
        <v>2206.5</v>
      </c>
      <c r="G132" s="334"/>
      <c r="H132" s="415">
        <v>1469.4880000000001</v>
      </c>
      <c r="I132" s="334">
        <f>J132</f>
        <v>635.33600000000001</v>
      </c>
      <c r="J132" s="503">
        <v>635.33600000000001</v>
      </c>
      <c r="K132" s="407">
        <f t="shared" si="35"/>
        <v>43.235194843374018</v>
      </c>
      <c r="L132" s="733">
        <f>H132</f>
        <v>1469.4880000000001</v>
      </c>
      <c r="M132" s="407">
        <f t="shared" si="53"/>
        <v>100</v>
      </c>
      <c r="N132" s="418"/>
      <c r="O132" s="418"/>
      <c r="P132" s="823"/>
      <c r="Q132" s="255">
        <v>1</v>
      </c>
      <c r="R132" s="255">
        <v>1</v>
      </c>
      <c r="S132" s="255"/>
      <c r="T132" s="397">
        <f t="shared" si="55"/>
        <v>834.15200000000004</v>
      </c>
      <c r="U132" s="491">
        <f t="shared" si="34"/>
        <v>0</v>
      </c>
      <c r="V132" s="491"/>
      <c r="AC132" s="491"/>
    </row>
    <row r="133" spans="1:29" ht="31.2">
      <c r="A133" s="271" t="s">
        <v>35</v>
      </c>
      <c r="B133" s="297" t="s">
        <v>363</v>
      </c>
      <c r="C133" s="227" t="s">
        <v>180</v>
      </c>
      <c r="D133" s="402">
        <v>8025351</v>
      </c>
      <c r="E133" s="334">
        <v>1200</v>
      </c>
      <c r="F133" s="334">
        <v>1200</v>
      </c>
      <c r="G133" s="334">
        <v>602</v>
      </c>
      <c r="H133" s="415">
        <v>563</v>
      </c>
      <c r="I133" s="334">
        <v>563</v>
      </c>
      <c r="J133" s="503">
        <v>563</v>
      </c>
      <c r="K133" s="407">
        <f t="shared" si="35"/>
        <v>100</v>
      </c>
      <c r="L133" s="733">
        <f>H133</f>
        <v>563</v>
      </c>
      <c r="M133" s="407">
        <f t="shared" si="53"/>
        <v>100</v>
      </c>
      <c r="N133" s="418"/>
      <c r="O133" s="418"/>
      <c r="P133" s="710"/>
      <c r="Q133" s="255">
        <v>1</v>
      </c>
      <c r="R133" s="255">
        <v>1</v>
      </c>
      <c r="S133" s="255">
        <v>1</v>
      </c>
      <c r="T133" s="397">
        <f t="shared" si="55"/>
        <v>0</v>
      </c>
      <c r="U133" s="491">
        <f t="shared" si="34"/>
        <v>0</v>
      </c>
      <c r="V133" s="491">
        <f>F133-H133</f>
        <v>637</v>
      </c>
      <c r="AC133" s="491"/>
    </row>
    <row r="134" spans="1:29" s="254" customFormat="1" ht="31.2">
      <c r="A134" s="264" t="s">
        <v>14</v>
      </c>
      <c r="B134" s="194" t="s">
        <v>255</v>
      </c>
      <c r="C134" s="263"/>
      <c r="D134" s="424"/>
      <c r="E134" s="333">
        <f>E135</f>
        <v>55566</v>
      </c>
      <c r="F134" s="333">
        <f t="shared" ref="F134:J134" si="59">F135</f>
        <v>44628</v>
      </c>
      <c r="G134" s="333">
        <f t="shared" si="59"/>
        <v>8033</v>
      </c>
      <c r="H134" s="333">
        <f t="shared" si="59"/>
        <v>5700</v>
      </c>
      <c r="I134" s="333">
        <f t="shared" si="59"/>
        <v>0</v>
      </c>
      <c r="J134" s="333">
        <f t="shared" si="59"/>
        <v>0</v>
      </c>
      <c r="K134" s="395">
        <f t="shared" si="35"/>
        <v>0</v>
      </c>
      <c r="L134" s="735">
        <f>H134</f>
        <v>5700</v>
      </c>
      <c r="M134" s="395">
        <f t="shared" si="53"/>
        <v>100</v>
      </c>
      <c r="N134" s="264"/>
      <c r="O134" s="264"/>
      <c r="P134" s="709"/>
      <c r="Q134" s="253"/>
      <c r="R134" s="253"/>
      <c r="S134" s="253"/>
      <c r="T134" s="400">
        <f t="shared" si="55"/>
        <v>5700</v>
      </c>
      <c r="U134" s="491">
        <f t="shared" si="34"/>
        <v>0</v>
      </c>
      <c r="V134" s="491"/>
      <c r="AC134" s="491"/>
    </row>
    <row r="135" spans="1:29" ht="16.2">
      <c r="A135" s="298">
        <v>1</v>
      </c>
      <c r="B135" s="299" t="s">
        <v>256</v>
      </c>
      <c r="C135" s="383"/>
      <c r="D135" s="402"/>
      <c r="E135" s="333">
        <f>E136+E139</f>
        <v>55566</v>
      </c>
      <c r="F135" s="333">
        <f t="shared" ref="F135:L135" si="60">F136+F139</f>
        <v>44628</v>
      </c>
      <c r="G135" s="333">
        <f t="shared" si="60"/>
        <v>8033</v>
      </c>
      <c r="H135" s="333">
        <f t="shared" si="60"/>
        <v>5700</v>
      </c>
      <c r="I135" s="333">
        <f t="shared" si="60"/>
        <v>0</v>
      </c>
      <c r="J135" s="682">
        <f t="shared" si="60"/>
        <v>0</v>
      </c>
      <c r="K135" s="395">
        <f t="shared" si="35"/>
        <v>0</v>
      </c>
      <c r="L135" s="333">
        <f t="shared" si="60"/>
        <v>5700</v>
      </c>
      <c r="M135" s="395">
        <f t="shared" si="53"/>
        <v>100</v>
      </c>
      <c r="N135" s="271"/>
      <c r="O135" s="271"/>
      <c r="P135" s="710"/>
      <c r="Q135" s="255"/>
      <c r="R135" s="255"/>
      <c r="S135" s="255"/>
      <c r="T135" s="397">
        <f t="shared" si="55"/>
        <v>5700</v>
      </c>
      <c r="U135" s="491">
        <f t="shared" si="34"/>
        <v>0</v>
      </c>
      <c r="V135" s="491"/>
      <c r="AC135" s="491"/>
    </row>
    <row r="136" spans="1:29" ht="16.2">
      <c r="A136" s="282" t="s">
        <v>11</v>
      </c>
      <c r="B136" s="283" t="s">
        <v>337</v>
      </c>
      <c r="C136" s="383"/>
      <c r="D136" s="402"/>
      <c r="E136" s="333">
        <f>SUM(E137:E138)</f>
        <v>29800</v>
      </c>
      <c r="F136" s="333">
        <f t="shared" ref="F136:L136" si="61">SUM(F137:F138)</f>
        <v>22722</v>
      </c>
      <c r="G136" s="333">
        <f t="shared" si="61"/>
        <v>8033</v>
      </c>
      <c r="H136" s="333">
        <f t="shared" si="61"/>
        <v>450</v>
      </c>
      <c r="I136" s="333">
        <f t="shared" si="61"/>
        <v>0</v>
      </c>
      <c r="J136" s="682">
        <f t="shared" si="61"/>
        <v>0</v>
      </c>
      <c r="K136" s="395">
        <f t="shared" si="35"/>
        <v>0</v>
      </c>
      <c r="L136" s="333">
        <f t="shared" si="61"/>
        <v>450</v>
      </c>
      <c r="M136" s="395">
        <f t="shared" si="53"/>
        <v>100</v>
      </c>
      <c r="N136" s="271"/>
      <c r="O136" s="271"/>
      <c r="P136" s="710"/>
      <c r="Q136" s="255"/>
      <c r="R136" s="255"/>
      <c r="S136" s="255"/>
      <c r="T136" s="397">
        <f t="shared" si="55"/>
        <v>450</v>
      </c>
      <c r="U136" s="491">
        <f t="shared" si="34"/>
        <v>0</v>
      </c>
      <c r="V136" s="491"/>
      <c r="AC136" s="491"/>
    </row>
    <row r="137" spans="1:29" ht="42" customHeight="1">
      <c r="A137" s="271" t="s">
        <v>35</v>
      </c>
      <c r="B137" s="297" t="s">
        <v>257</v>
      </c>
      <c r="C137" s="227" t="s">
        <v>532</v>
      </c>
      <c r="D137" s="402">
        <v>8006668</v>
      </c>
      <c r="E137" s="334">
        <v>14900</v>
      </c>
      <c r="F137" s="334">
        <v>11360</v>
      </c>
      <c r="G137" s="334">
        <v>4000</v>
      </c>
      <c r="H137" s="415">
        <v>350</v>
      </c>
      <c r="I137" s="334"/>
      <c r="J137" s="503"/>
      <c r="K137" s="407">
        <f t="shared" si="35"/>
        <v>0</v>
      </c>
      <c r="L137" s="733">
        <f>H137</f>
        <v>350</v>
      </c>
      <c r="M137" s="407">
        <f t="shared" si="53"/>
        <v>100</v>
      </c>
      <c r="N137" s="418"/>
      <c r="O137" s="418"/>
      <c r="P137" s="718" t="s">
        <v>687</v>
      </c>
      <c r="Q137" s="255">
        <v>1</v>
      </c>
      <c r="R137" s="255"/>
      <c r="S137" s="255"/>
      <c r="T137" s="397">
        <f t="shared" si="55"/>
        <v>350</v>
      </c>
      <c r="U137" s="491">
        <f t="shared" ref="U137:U200" si="62">I137-J137</f>
        <v>0</v>
      </c>
      <c r="V137" s="491"/>
      <c r="AC137" s="491"/>
    </row>
    <row r="138" spans="1:29" ht="42" customHeight="1">
      <c r="A138" s="271" t="s">
        <v>35</v>
      </c>
      <c r="B138" s="297" t="s">
        <v>258</v>
      </c>
      <c r="C138" s="227" t="s">
        <v>532</v>
      </c>
      <c r="D138" s="402">
        <v>8006534</v>
      </c>
      <c r="E138" s="334">
        <v>14900</v>
      </c>
      <c r="F138" s="334">
        <v>11362</v>
      </c>
      <c r="G138" s="334">
        <v>4033</v>
      </c>
      <c r="H138" s="415">
        <v>100</v>
      </c>
      <c r="I138" s="334"/>
      <c r="J138" s="503"/>
      <c r="K138" s="407">
        <f t="shared" ref="K138:K200" si="63">J138/H138*100</f>
        <v>0</v>
      </c>
      <c r="L138" s="733">
        <f>H138</f>
        <v>100</v>
      </c>
      <c r="M138" s="407">
        <f t="shared" si="53"/>
        <v>100</v>
      </c>
      <c r="N138" s="418"/>
      <c r="O138" s="418"/>
      <c r="P138" s="718" t="s">
        <v>687</v>
      </c>
      <c r="Q138" s="255">
        <v>1</v>
      </c>
      <c r="R138" s="255"/>
      <c r="S138" s="255"/>
      <c r="T138" s="397">
        <f t="shared" si="55"/>
        <v>100</v>
      </c>
      <c r="U138" s="491">
        <f t="shared" si="62"/>
        <v>0</v>
      </c>
      <c r="V138" s="491"/>
      <c r="AC138" s="491"/>
    </row>
    <row r="139" spans="1:29" ht="16.2">
      <c r="A139" s="282" t="s">
        <v>11</v>
      </c>
      <c r="B139" s="423" t="s">
        <v>360</v>
      </c>
      <c r="C139" s="227"/>
      <c r="D139" s="402"/>
      <c r="E139" s="333">
        <f>SUM(E140:E141)</f>
        <v>25766</v>
      </c>
      <c r="F139" s="333">
        <f t="shared" ref="F139:L139" si="64">SUM(F140:F141)</f>
        <v>21906</v>
      </c>
      <c r="G139" s="333">
        <f t="shared" si="64"/>
        <v>0</v>
      </c>
      <c r="H139" s="333">
        <f t="shared" si="64"/>
        <v>5250</v>
      </c>
      <c r="I139" s="333">
        <f t="shared" si="64"/>
        <v>0</v>
      </c>
      <c r="J139" s="682">
        <f t="shared" si="64"/>
        <v>0</v>
      </c>
      <c r="K139" s="395">
        <f t="shared" si="63"/>
        <v>0</v>
      </c>
      <c r="L139" s="333">
        <f t="shared" si="64"/>
        <v>5250</v>
      </c>
      <c r="M139" s="395">
        <f t="shared" si="53"/>
        <v>100</v>
      </c>
      <c r="N139" s="271"/>
      <c r="O139" s="271"/>
      <c r="P139" s="710"/>
      <c r="Q139" s="255"/>
      <c r="R139" s="255"/>
      <c r="S139" s="255"/>
      <c r="T139" s="397">
        <f t="shared" si="55"/>
        <v>5250</v>
      </c>
      <c r="U139" s="491">
        <f t="shared" si="62"/>
        <v>0</v>
      </c>
      <c r="V139" s="491"/>
      <c r="AC139" s="491"/>
    </row>
    <row r="140" spans="1:29" ht="44.4" customHeight="1">
      <c r="A140" s="271" t="s">
        <v>35</v>
      </c>
      <c r="B140" s="297" t="s">
        <v>364</v>
      </c>
      <c r="C140" s="227" t="s">
        <v>532</v>
      </c>
      <c r="D140" s="500">
        <v>8018932</v>
      </c>
      <c r="E140" s="334">
        <v>12950</v>
      </c>
      <c r="F140" s="334">
        <v>9090</v>
      </c>
      <c r="G140" s="334">
        <v>0</v>
      </c>
      <c r="H140" s="415">
        <v>3000</v>
      </c>
      <c r="I140" s="334"/>
      <c r="J140" s="503"/>
      <c r="K140" s="407">
        <f t="shared" si="63"/>
        <v>0</v>
      </c>
      <c r="L140" s="733">
        <f>H140</f>
        <v>3000</v>
      </c>
      <c r="M140" s="407">
        <f t="shared" si="53"/>
        <v>100</v>
      </c>
      <c r="N140" s="418"/>
      <c r="O140" s="418"/>
      <c r="P140" s="710"/>
      <c r="Q140" s="255">
        <v>1</v>
      </c>
      <c r="R140" s="255">
        <v>1</v>
      </c>
      <c r="S140" s="255"/>
      <c r="T140" s="397">
        <f t="shared" si="55"/>
        <v>3000</v>
      </c>
      <c r="U140" s="491">
        <f t="shared" si="62"/>
        <v>0</v>
      </c>
      <c r="V140" s="491"/>
      <c r="AC140" s="491"/>
    </row>
    <row r="141" spans="1:29" ht="45.6" customHeight="1">
      <c r="A141" s="271" t="s">
        <v>35</v>
      </c>
      <c r="B141" s="297" t="s">
        <v>365</v>
      </c>
      <c r="C141" s="227" t="s">
        <v>532</v>
      </c>
      <c r="D141" s="500">
        <v>8018933</v>
      </c>
      <c r="E141" s="334">
        <v>12816</v>
      </c>
      <c r="F141" s="334">
        <v>12816</v>
      </c>
      <c r="G141" s="334">
        <v>0</v>
      </c>
      <c r="H141" s="415">
        <v>2250</v>
      </c>
      <c r="I141" s="334"/>
      <c r="J141" s="503"/>
      <c r="K141" s="407">
        <f t="shared" si="63"/>
        <v>0</v>
      </c>
      <c r="L141" s="733">
        <f>H141</f>
        <v>2250</v>
      </c>
      <c r="M141" s="407">
        <f t="shared" si="53"/>
        <v>100</v>
      </c>
      <c r="N141" s="418"/>
      <c r="O141" s="418"/>
      <c r="P141" s="718" t="s">
        <v>687</v>
      </c>
      <c r="Q141" s="255">
        <v>1</v>
      </c>
      <c r="R141" s="255">
        <v>1</v>
      </c>
      <c r="S141" s="255"/>
      <c r="T141" s="397">
        <f t="shared" si="55"/>
        <v>2250</v>
      </c>
      <c r="U141" s="491">
        <f t="shared" si="62"/>
        <v>0</v>
      </c>
      <c r="V141" s="491"/>
      <c r="AC141" s="491"/>
    </row>
    <row r="142" spans="1:29" ht="62.4">
      <c r="A142" s="264" t="s">
        <v>18</v>
      </c>
      <c r="B142" s="194" t="s">
        <v>259</v>
      </c>
      <c r="C142" s="227"/>
      <c r="D142" s="402"/>
      <c r="E142" s="333">
        <f t="shared" ref="E142:J142" si="65">E143+E146+E155+E162+E171+E177+E184+E191+E197+E201+E207+E212</f>
        <v>68450</v>
      </c>
      <c r="F142" s="333">
        <f t="shared" si="65"/>
        <v>64450</v>
      </c>
      <c r="G142" s="333">
        <f t="shared" si="65"/>
        <v>10382</v>
      </c>
      <c r="H142" s="333">
        <f t="shared" si="65"/>
        <v>45444</v>
      </c>
      <c r="I142" s="333">
        <f t="shared" si="65"/>
        <v>33175.192428000002</v>
      </c>
      <c r="J142" s="682">
        <f t="shared" si="65"/>
        <v>32789.994428000005</v>
      </c>
      <c r="K142" s="395">
        <f t="shared" si="63"/>
        <v>72.154727638412126</v>
      </c>
      <c r="L142" s="333">
        <f>L143+L146+L155+L162+L171+L177+L184+L191+L197+L201+L207+L212</f>
        <v>45444</v>
      </c>
      <c r="M142" s="395">
        <f t="shared" si="53"/>
        <v>100</v>
      </c>
      <c r="N142" s="271"/>
      <c r="O142" s="271"/>
      <c r="P142" s="710"/>
      <c r="Q142" s="255"/>
      <c r="R142" s="255"/>
      <c r="S142" s="255"/>
      <c r="T142" s="397">
        <f t="shared" si="55"/>
        <v>12654.005571999995</v>
      </c>
      <c r="U142" s="491">
        <f t="shared" si="62"/>
        <v>385.19799999999668</v>
      </c>
      <c r="V142" s="491"/>
      <c r="AC142" s="491"/>
    </row>
    <row r="143" spans="1:29" s="254" customFormat="1">
      <c r="A143" s="264">
        <v>1</v>
      </c>
      <c r="B143" s="296" t="s">
        <v>246</v>
      </c>
      <c r="C143" s="263"/>
      <c r="D143" s="424"/>
      <c r="E143" s="333">
        <f>E144</f>
        <v>2800</v>
      </c>
      <c r="F143" s="333">
        <f t="shared" ref="F143:L144" si="66">F144</f>
        <v>2800</v>
      </c>
      <c r="G143" s="333">
        <f t="shared" si="66"/>
        <v>0</v>
      </c>
      <c r="H143" s="333">
        <f t="shared" si="66"/>
        <v>2000</v>
      </c>
      <c r="I143" s="333">
        <f t="shared" si="66"/>
        <v>1347.066</v>
      </c>
      <c r="J143" s="682">
        <f t="shared" si="66"/>
        <v>1347.066</v>
      </c>
      <c r="K143" s="395">
        <f t="shared" si="63"/>
        <v>67.353300000000004</v>
      </c>
      <c r="L143" s="333">
        <f t="shared" si="66"/>
        <v>2000</v>
      </c>
      <c r="M143" s="395">
        <f t="shared" si="53"/>
        <v>100</v>
      </c>
      <c r="N143" s="264"/>
      <c r="O143" s="264"/>
      <c r="P143" s="709"/>
      <c r="Q143" s="253"/>
      <c r="R143" s="253"/>
      <c r="S143" s="253"/>
      <c r="T143" s="400">
        <f t="shared" si="55"/>
        <v>652.93399999999997</v>
      </c>
      <c r="U143" s="491">
        <f t="shared" si="62"/>
        <v>0</v>
      </c>
      <c r="V143" s="491"/>
      <c r="AC143" s="491"/>
    </row>
    <row r="144" spans="1:29" s="344" customFormat="1" ht="16.2">
      <c r="A144" s="298" t="s">
        <v>11</v>
      </c>
      <c r="B144" s="301" t="s">
        <v>360</v>
      </c>
      <c r="C144" s="383"/>
      <c r="D144" s="420"/>
      <c r="E144" s="343">
        <f>E145</f>
        <v>2800</v>
      </c>
      <c r="F144" s="343">
        <f t="shared" si="66"/>
        <v>2800</v>
      </c>
      <c r="G144" s="343">
        <f t="shared" si="66"/>
        <v>0</v>
      </c>
      <c r="H144" s="343">
        <f t="shared" si="66"/>
        <v>2000</v>
      </c>
      <c r="I144" s="343">
        <f t="shared" si="66"/>
        <v>1347.066</v>
      </c>
      <c r="J144" s="504">
        <f t="shared" si="66"/>
        <v>1347.066</v>
      </c>
      <c r="K144" s="395">
        <f t="shared" si="63"/>
        <v>67.353300000000004</v>
      </c>
      <c r="L144" s="343">
        <f t="shared" si="66"/>
        <v>2000</v>
      </c>
      <c r="M144" s="395">
        <f t="shared" si="53"/>
        <v>100</v>
      </c>
      <c r="N144" s="298"/>
      <c r="O144" s="298"/>
      <c r="P144" s="717"/>
      <c r="Q144" s="257"/>
      <c r="R144" s="257"/>
      <c r="S144" s="257"/>
      <c r="T144" s="425">
        <f t="shared" si="55"/>
        <v>652.93399999999997</v>
      </c>
      <c r="U144" s="491">
        <f t="shared" si="62"/>
        <v>0</v>
      </c>
      <c r="V144" s="491"/>
      <c r="AC144" s="491"/>
    </row>
    <row r="145" spans="1:29" ht="31.2">
      <c r="A145" s="271" t="s">
        <v>35</v>
      </c>
      <c r="B145" s="297" t="s">
        <v>366</v>
      </c>
      <c r="C145" s="227" t="s">
        <v>532</v>
      </c>
      <c r="D145" s="402">
        <v>8022248</v>
      </c>
      <c r="E145" s="334">
        <v>2800</v>
      </c>
      <c r="F145" s="334">
        <v>2800</v>
      </c>
      <c r="G145" s="334"/>
      <c r="H145" s="415">
        <v>2000</v>
      </c>
      <c r="I145" s="334">
        <f>J145</f>
        <v>1347.066</v>
      </c>
      <c r="J145" s="503">
        <v>1347.066</v>
      </c>
      <c r="K145" s="407">
        <f t="shared" si="63"/>
        <v>67.353300000000004</v>
      </c>
      <c r="L145" s="733">
        <f>H145</f>
        <v>2000</v>
      </c>
      <c r="M145" s="407">
        <f t="shared" si="53"/>
        <v>100</v>
      </c>
      <c r="N145" s="227"/>
      <c r="O145" s="418"/>
      <c r="P145" s="710"/>
      <c r="Q145" s="255">
        <v>1</v>
      </c>
      <c r="R145" s="255">
        <v>1</v>
      </c>
      <c r="S145" s="255"/>
      <c r="T145" s="397">
        <f t="shared" si="55"/>
        <v>652.93399999999997</v>
      </c>
      <c r="U145" s="491">
        <f t="shared" si="62"/>
        <v>0</v>
      </c>
      <c r="V145" s="491"/>
      <c r="AC145" s="491"/>
    </row>
    <row r="146" spans="1:29" s="254" customFormat="1">
      <c r="A146" s="264">
        <v>2</v>
      </c>
      <c r="B146" s="194" t="s">
        <v>241</v>
      </c>
      <c r="C146" s="263"/>
      <c r="D146" s="424"/>
      <c r="E146" s="333">
        <f>E147+E150</f>
        <v>7650</v>
      </c>
      <c r="F146" s="333">
        <f t="shared" ref="F146:L146" si="67">F147+F150</f>
        <v>7650</v>
      </c>
      <c r="G146" s="333">
        <f t="shared" si="67"/>
        <v>1074</v>
      </c>
      <c r="H146" s="333">
        <f t="shared" si="67"/>
        <v>4934.2950000000001</v>
      </c>
      <c r="I146" s="333">
        <f t="shared" si="67"/>
        <v>4143.47</v>
      </c>
      <c r="J146" s="682">
        <f t="shared" si="67"/>
        <v>4143.47</v>
      </c>
      <c r="K146" s="395">
        <f t="shared" si="63"/>
        <v>83.97288771749561</v>
      </c>
      <c r="L146" s="333">
        <f t="shared" si="67"/>
        <v>4934.2950000000001</v>
      </c>
      <c r="M146" s="395">
        <f t="shared" si="53"/>
        <v>100</v>
      </c>
      <c r="N146" s="264"/>
      <c r="O146" s="264"/>
      <c r="P146" s="709"/>
      <c r="Q146" s="253"/>
      <c r="R146" s="253"/>
      <c r="S146" s="253"/>
      <c r="T146" s="400">
        <f t="shared" si="55"/>
        <v>790.82499999999982</v>
      </c>
      <c r="U146" s="491">
        <f t="shared" si="62"/>
        <v>0</v>
      </c>
      <c r="V146" s="491"/>
      <c r="AC146" s="491"/>
    </row>
    <row r="147" spans="1:29" s="254" customFormat="1" ht="16.2">
      <c r="A147" s="298" t="s">
        <v>11</v>
      </c>
      <c r="B147" s="301" t="s">
        <v>337</v>
      </c>
      <c r="C147" s="263"/>
      <c r="D147" s="424"/>
      <c r="E147" s="343">
        <f>SUM(E148:E149)</f>
        <v>1600</v>
      </c>
      <c r="F147" s="343">
        <f t="shared" ref="F147:L147" si="68">SUM(F148:F149)</f>
        <v>1600</v>
      </c>
      <c r="G147" s="343">
        <f t="shared" si="68"/>
        <v>1074</v>
      </c>
      <c r="H147" s="343">
        <f t="shared" si="68"/>
        <v>526</v>
      </c>
      <c r="I147" s="343">
        <f t="shared" si="68"/>
        <v>457.15199999999999</v>
      </c>
      <c r="J147" s="504">
        <f t="shared" si="68"/>
        <v>457.15199999999999</v>
      </c>
      <c r="K147" s="395">
        <f t="shared" si="63"/>
        <v>86.911026615969575</v>
      </c>
      <c r="L147" s="343">
        <f t="shared" si="68"/>
        <v>526</v>
      </c>
      <c r="M147" s="395">
        <f t="shared" ref="M147:M178" si="69">L147/H147*100</f>
        <v>100</v>
      </c>
      <c r="N147" s="264"/>
      <c r="O147" s="264"/>
      <c r="P147" s="709"/>
      <c r="Q147" s="253"/>
      <c r="R147" s="253"/>
      <c r="S147" s="253"/>
      <c r="T147" s="400">
        <f t="shared" si="55"/>
        <v>68.848000000000013</v>
      </c>
      <c r="U147" s="491">
        <f t="shared" si="62"/>
        <v>0</v>
      </c>
      <c r="V147" s="491"/>
      <c r="AC147" s="491"/>
    </row>
    <row r="148" spans="1:29">
      <c r="A148" s="271" t="s">
        <v>35</v>
      </c>
      <c r="B148" s="297" t="s">
        <v>304</v>
      </c>
      <c r="C148" s="227" t="s">
        <v>178</v>
      </c>
      <c r="D148" s="402">
        <v>7994171</v>
      </c>
      <c r="E148" s="334">
        <v>900</v>
      </c>
      <c r="F148" s="334">
        <v>900</v>
      </c>
      <c r="G148" s="334">
        <v>700</v>
      </c>
      <c r="H148" s="415">
        <v>200</v>
      </c>
      <c r="I148" s="334">
        <v>161.28800000000001</v>
      </c>
      <c r="J148" s="503">
        <v>161.28800000000001</v>
      </c>
      <c r="K148" s="407">
        <f t="shared" si="63"/>
        <v>80.644000000000005</v>
      </c>
      <c r="L148" s="733">
        <f>H148</f>
        <v>200</v>
      </c>
      <c r="M148" s="407">
        <f t="shared" si="69"/>
        <v>100</v>
      </c>
      <c r="N148" s="227"/>
      <c r="O148" s="227">
        <v>3</v>
      </c>
      <c r="P148" s="710"/>
      <c r="Q148" s="255">
        <v>1</v>
      </c>
      <c r="R148" s="255"/>
      <c r="S148" s="255"/>
      <c r="T148" s="397">
        <f t="shared" si="55"/>
        <v>38.711999999999989</v>
      </c>
      <c r="U148" s="491">
        <f t="shared" si="62"/>
        <v>0</v>
      </c>
      <c r="V148" s="491"/>
      <c r="AC148" s="491"/>
    </row>
    <row r="149" spans="1:29">
      <c r="A149" s="271" t="s">
        <v>35</v>
      </c>
      <c r="B149" s="297" t="s">
        <v>367</v>
      </c>
      <c r="C149" s="227" t="s">
        <v>178</v>
      </c>
      <c r="D149" s="402">
        <v>7994173</v>
      </c>
      <c r="E149" s="334">
        <v>700</v>
      </c>
      <c r="F149" s="334">
        <v>700</v>
      </c>
      <c r="G149" s="334">
        <v>374</v>
      </c>
      <c r="H149" s="415">
        <v>326</v>
      </c>
      <c r="I149" s="334">
        <f>J149</f>
        <v>295.86399999999998</v>
      </c>
      <c r="J149" s="503">
        <v>295.86399999999998</v>
      </c>
      <c r="K149" s="407">
        <f t="shared" si="63"/>
        <v>90.755828220858888</v>
      </c>
      <c r="L149" s="733">
        <f>H149</f>
        <v>326</v>
      </c>
      <c r="M149" s="407">
        <f t="shared" si="69"/>
        <v>100</v>
      </c>
      <c r="N149" s="227"/>
      <c r="O149" s="227">
        <v>3</v>
      </c>
      <c r="P149" s="710"/>
      <c r="Q149" s="255">
        <v>1</v>
      </c>
      <c r="R149" s="255"/>
      <c r="S149" s="255"/>
      <c r="T149" s="397">
        <f t="shared" si="55"/>
        <v>30.136000000000024</v>
      </c>
      <c r="U149" s="491">
        <f t="shared" si="62"/>
        <v>0</v>
      </c>
      <c r="V149" s="491"/>
      <c r="AC149" s="491"/>
    </row>
    <row r="150" spans="1:29" ht="16.2">
      <c r="A150" s="298" t="s">
        <v>11</v>
      </c>
      <c r="B150" s="301" t="s">
        <v>360</v>
      </c>
      <c r="C150" s="227"/>
      <c r="D150" s="402"/>
      <c r="E150" s="343">
        <f>SUM(E151:E154)</f>
        <v>6050</v>
      </c>
      <c r="F150" s="343">
        <f t="shared" ref="F150:J150" si="70">SUM(F151:F154)</f>
        <v>6050</v>
      </c>
      <c r="G150" s="343">
        <f t="shared" si="70"/>
        <v>0</v>
      </c>
      <c r="H150" s="343">
        <f t="shared" si="70"/>
        <v>4408.2950000000001</v>
      </c>
      <c r="I150" s="343">
        <f t="shared" si="70"/>
        <v>3686.3180000000002</v>
      </c>
      <c r="J150" s="504">
        <f t="shared" si="70"/>
        <v>3686.3180000000002</v>
      </c>
      <c r="K150" s="395">
        <f t="shared" si="63"/>
        <v>83.62230749076457</v>
      </c>
      <c r="L150" s="343">
        <f>SUM(L151:L154)</f>
        <v>4408.2950000000001</v>
      </c>
      <c r="M150" s="395">
        <f t="shared" si="69"/>
        <v>100</v>
      </c>
      <c r="N150" s="271"/>
      <c r="O150" s="271"/>
      <c r="P150" s="710"/>
      <c r="Q150" s="255"/>
      <c r="R150" s="255"/>
      <c r="S150" s="255"/>
      <c r="T150" s="397">
        <f t="shared" si="55"/>
        <v>721.97699999999986</v>
      </c>
      <c r="U150" s="491">
        <f t="shared" si="62"/>
        <v>0</v>
      </c>
      <c r="V150" s="491"/>
      <c r="AC150" s="491"/>
    </row>
    <row r="151" spans="1:29">
      <c r="A151" s="271" t="s">
        <v>35</v>
      </c>
      <c r="B151" s="297" t="s">
        <v>368</v>
      </c>
      <c r="C151" s="227" t="s">
        <v>178</v>
      </c>
      <c r="D151" s="402">
        <v>8026324</v>
      </c>
      <c r="E151" s="334">
        <v>900</v>
      </c>
      <c r="F151" s="334">
        <v>900</v>
      </c>
      <c r="G151" s="334"/>
      <c r="H151" s="415">
        <v>600</v>
      </c>
      <c r="I151" s="334">
        <f>J151</f>
        <v>570.899</v>
      </c>
      <c r="J151" s="503">
        <v>570.899</v>
      </c>
      <c r="K151" s="407">
        <f t="shared" si="63"/>
        <v>95.149833333333333</v>
      </c>
      <c r="L151" s="733">
        <f>H151</f>
        <v>600</v>
      </c>
      <c r="M151" s="407">
        <f t="shared" si="69"/>
        <v>100</v>
      </c>
      <c r="N151" s="227"/>
      <c r="O151" s="227">
        <v>4</v>
      </c>
      <c r="P151" s="710"/>
      <c r="Q151" s="255">
        <v>1</v>
      </c>
      <c r="R151" s="255">
        <v>1</v>
      </c>
      <c r="S151" s="255">
        <v>1</v>
      </c>
      <c r="T151" s="397">
        <f t="shared" si="55"/>
        <v>29.100999999999999</v>
      </c>
      <c r="U151" s="491">
        <f t="shared" si="62"/>
        <v>0</v>
      </c>
      <c r="V151" s="491"/>
      <c r="AC151" s="491"/>
    </row>
    <row r="152" spans="1:29" ht="31.2">
      <c r="A152" s="271" t="s">
        <v>35</v>
      </c>
      <c r="B152" s="297" t="s">
        <v>369</v>
      </c>
      <c r="C152" s="227" t="s">
        <v>178</v>
      </c>
      <c r="D152" s="402">
        <v>8027000</v>
      </c>
      <c r="E152" s="334">
        <v>1400</v>
      </c>
      <c r="F152" s="334">
        <v>1400</v>
      </c>
      <c r="G152" s="334">
        <v>0</v>
      </c>
      <c r="H152" s="415">
        <v>1400</v>
      </c>
      <c r="I152" s="334">
        <v>1200</v>
      </c>
      <c r="J152" s="503">
        <v>1200</v>
      </c>
      <c r="K152" s="407">
        <f t="shared" si="63"/>
        <v>85.714285714285708</v>
      </c>
      <c r="L152" s="733">
        <f>H152</f>
        <v>1400</v>
      </c>
      <c r="M152" s="407">
        <f t="shared" si="69"/>
        <v>100</v>
      </c>
      <c r="N152" s="227"/>
      <c r="O152" s="227">
        <v>4</v>
      </c>
      <c r="P152" s="718" t="s">
        <v>686</v>
      </c>
      <c r="Q152" s="255">
        <v>1</v>
      </c>
      <c r="R152" s="255">
        <v>1</v>
      </c>
      <c r="S152" s="255">
        <v>1</v>
      </c>
      <c r="T152" s="397">
        <f t="shared" si="55"/>
        <v>200</v>
      </c>
      <c r="U152" s="491">
        <f t="shared" si="62"/>
        <v>0</v>
      </c>
      <c r="V152" s="491"/>
      <c r="AC152" s="491"/>
    </row>
    <row r="153" spans="1:29">
      <c r="A153" s="271" t="s">
        <v>35</v>
      </c>
      <c r="B153" s="297" t="s">
        <v>370</v>
      </c>
      <c r="C153" s="227" t="s">
        <v>178</v>
      </c>
      <c r="D153" s="402">
        <v>8027091</v>
      </c>
      <c r="E153" s="334">
        <v>950</v>
      </c>
      <c r="F153" s="334">
        <v>950</v>
      </c>
      <c r="G153" s="334">
        <v>0</v>
      </c>
      <c r="H153" s="415">
        <v>650</v>
      </c>
      <c r="I153" s="334">
        <v>650</v>
      </c>
      <c r="J153" s="503">
        <v>650</v>
      </c>
      <c r="K153" s="407">
        <f t="shared" si="63"/>
        <v>100</v>
      </c>
      <c r="L153" s="733">
        <f>H153</f>
        <v>650</v>
      </c>
      <c r="M153" s="407">
        <f t="shared" si="69"/>
        <v>100</v>
      </c>
      <c r="N153" s="227"/>
      <c r="O153" s="227">
        <v>4</v>
      </c>
      <c r="P153" s="710"/>
      <c r="Q153" s="255">
        <v>1</v>
      </c>
      <c r="R153" s="255">
        <v>1</v>
      </c>
      <c r="S153" s="255">
        <v>1</v>
      </c>
      <c r="T153" s="397">
        <f t="shared" si="55"/>
        <v>0</v>
      </c>
      <c r="U153" s="491">
        <f t="shared" si="62"/>
        <v>0</v>
      </c>
      <c r="V153" s="491"/>
      <c r="AC153" s="491"/>
    </row>
    <row r="154" spans="1:29" ht="46.8">
      <c r="A154" s="271" t="s">
        <v>35</v>
      </c>
      <c r="B154" s="297" t="s">
        <v>371</v>
      </c>
      <c r="C154" s="227" t="s">
        <v>532</v>
      </c>
      <c r="D154" s="402">
        <v>8022255</v>
      </c>
      <c r="E154" s="334">
        <v>2800</v>
      </c>
      <c r="F154" s="334">
        <v>2800</v>
      </c>
      <c r="G154" s="334">
        <v>0</v>
      </c>
      <c r="H154" s="415">
        <v>1758.2950000000001</v>
      </c>
      <c r="I154" s="334">
        <f>J154</f>
        <v>1265.4190000000001</v>
      </c>
      <c r="J154" s="503">
        <v>1265.4190000000001</v>
      </c>
      <c r="K154" s="407">
        <f t="shared" si="63"/>
        <v>71.968526328062126</v>
      </c>
      <c r="L154" s="733">
        <f>H154</f>
        <v>1758.2950000000001</v>
      </c>
      <c r="M154" s="407">
        <f t="shared" si="69"/>
        <v>100</v>
      </c>
      <c r="N154" s="227"/>
      <c r="O154" s="418"/>
      <c r="P154" s="718" t="s">
        <v>685</v>
      </c>
      <c r="Q154" s="255">
        <v>1</v>
      </c>
      <c r="R154" s="255">
        <v>1</v>
      </c>
      <c r="S154" s="255"/>
      <c r="T154" s="397">
        <f t="shared" si="55"/>
        <v>492.87599999999998</v>
      </c>
      <c r="U154" s="491">
        <f t="shared" si="62"/>
        <v>0</v>
      </c>
      <c r="V154" s="491"/>
      <c r="AC154" s="491"/>
    </row>
    <row r="155" spans="1:29">
      <c r="A155" s="264">
        <v>3</v>
      </c>
      <c r="B155" s="194" t="s">
        <v>242</v>
      </c>
      <c r="C155" s="263"/>
      <c r="D155" s="402"/>
      <c r="E155" s="333">
        <f>E156+E158</f>
        <v>4780</v>
      </c>
      <c r="F155" s="333">
        <f t="shared" ref="F155:L155" si="71">F156+F158</f>
        <v>4780</v>
      </c>
      <c r="G155" s="333">
        <f t="shared" si="71"/>
        <v>400</v>
      </c>
      <c r="H155" s="333">
        <f t="shared" si="71"/>
        <v>4815</v>
      </c>
      <c r="I155" s="333">
        <f t="shared" si="71"/>
        <v>2462.9299999999998</v>
      </c>
      <c r="J155" s="682">
        <f t="shared" si="71"/>
        <v>2412.9299999999998</v>
      </c>
      <c r="K155" s="395">
        <f t="shared" si="63"/>
        <v>50.112772585669774</v>
      </c>
      <c r="L155" s="333">
        <f t="shared" si="71"/>
        <v>4815</v>
      </c>
      <c r="M155" s="395">
        <f t="shared" si="69"/>
        <v>100</v>
      </c>
      <c r="N155" s="271"/>
      <c r="O155" s="271"/>
      <c r="P155" s="710"/>
      <c r="Q155" s="255"/>
      <c r="R155" s="255"/>
      <c r="S155" s="255"/>
      <c r="T155" s="397">
        <f t="shared" ref="T155:T190" si="72">H155-J155</f>
        <v>2402.0700000000002</v>
      </c>
      <c r="U155" s="491">
        <f t="shared" si="62"/>
        <v>50</v>
      </c>
      <c r="V155" s="491"/>
      <c r="AC155" s="491"/>
    </row>
    <row r="156" spans="1:29" ht="16.2">
      <c r="A156" s="298" t="s">
        <v>11</v>
      </c>
      <c r="B156" s="301" t="s">
        <v>337</v>
      </c>
      <c r="C156" s="263"/>
      <c r="D156" s="402"/>
      <c r="E156" s="343">
        <f>SUM(E157)</f>
        <v>500</v>
      </c>
      <c r="F156" s="343">
        <f t="shared" ref="F156:L156" si="73">SUM(F157)</f>
        <v>500</v>
      </c>
      <c r="G156" s="343">
        <f t="shared" si="73"/>
        <v>400</v>
      </c>
      <c r="H156" s="343">
        <f t="shared" si="73"/>
        <v>100</v>
      </c>
      <c r="I156" s="343">
        <f t="shared" si="73"/>
        <v>50</v>
      </c>
      <c r="J156" s="504">
        <f t="shared" si="73"/>
        <v>0</v>
      </c>
      <c r="K156" s="395">
        <f t="shared" si="63"/>
        <v>0</v>
      </c>
      <c r="L156" s="343">
        <f t="shared" si="73"/>
        <v>100</v>
      </c>
      <c r="M156" s="395">
        <f t="shared" si="69"/>
        <v>100</v>
      </c>
      <c r="N156" s="271"/>
      <c r="O156" s="271"/>
      <c r="P156" s="710"/>
      <c r="Q156" s="255"/>
      <c r="R156" s="255"/>
      <c r="S156" s="255"/>
      <c r="T156" s="397">
        <f t="shared" si="72"/>
        <v>100</v>
      </c>
      <c r="U156" s="491">
        <f t="shared" si="62"/>
        <v>50</v>
      </c>
      <c r="V156" s="491"/>
      <c r="AC156" s="491"/>
    </row>
    <row r="157" spans="1:29" ht="31.2">
      <c r="A157" s="271" t="s">
        <v>35</v>
      </c>
      <c r="B157" s="297" t="s">
        <v>260</v>
      </c>
      <c r="C157" s="255" t="s">
        <v>292</v>
      </c>
      <c r="D157" s="402">
        <v>7998773</v>
      </c>
      <c r="E157" s="334">
        <v>500</v>
      </c>
      <c r="F157" s="334">
        <v>500</v>
      </c>
      <c r="G157" s="334">
        <v>400</v>
      </c>
      <c r="H157" s="415">
        <v>100</v>
      </c>
      <c r="I157" s="334">
        <v>50</v>
      </c>
      <c r="J157" s="503"/>
      <c r="K157" s="407">
        <f t="shared" si="63"/>
        <v>0</v>
      </c>
      <c r="L157" s="733">
        <f>H157</f>
        <v>100</v>
      </c>
      <c r="M157" s="407">
        <f t="shared" si="69"/>
        <v>100</v>
      </c>
      <c r="N157" s="417"/>
      <c r="O157" s="417"/>
      <c r="P157" s="710"/>
      <c r="Q157" s="255">
        <v>1</v>
      </c>
      <c r="R157" s="255"/>
      <c r="S157" s="255"/>
      <c r="T157" s="397">
        <f t="shared" si="72"/>
        <v>100</v>
      </c>
      <c r="U157" s="491">
        <f t="shared" si="62"/>
        <v>50</v>
      </c>
      <c r="V157" s="491"/>
      <c r="AC157" s="491"/>
    </row>
    <row r="158" spans="1:29" ht="16.2">
      <c r="A158" s="298" t="s">
        <v>11</v>
      </c>
      <c r="B158" s="301" t="s">
        <v>360</v>
      </c>
      <c r="C158" s="255"/>
      <c r="D158" s="422"/>
      <c r="E158" s="343">
        <f>SUM(E159:E161)</f>
        <v>4280</v>
      </c>
      <c r="F158" s="343">
        <f t="shared" ref="F158:L158" si="74">SUM(F159:F161)</f>
        <v>4280</v>
      </c>
      <c r="G158" s="343">
        <f t="shared" si="74"/>
        <v>0</v>
      </c>
      <c r="H158" s="343">
        <f t="shared" si="74"/>
        <v>4715</v>
      </c>
      <c r="I158" s="343">
        <f t="shared" si="74"/>
        <v>2412.9299999999998</v>
      </c>
      <c r="J158" s="504">
        <f t="shared" si="74"/>
        <v>2412.9299999999998</v>
      </c>
      <c r="K158" s="395">
        <f t="shared" si="63"/>
        <v>51.175609756097565</v>
      </c>
      <c r="L158" s="343">
        <f t="shared" si="74"/>
        <v>4715</v>
      </c>
      <c r="M158" s="395">
        <f t="shared" si="69"/>
        <v>100</v>
      </c>
      <c r="N158" s="271"/>
      <c r="O158" s="271"/>
      <c r="P158" s="710"/>
      <c r="Q158" s="255"/>
      <c r="R158" s="255"/>
      <c r="S158" s="255"/>
      <c r="T158" s="397">
        <f t="shared" si="72"/>
        <v>2302.0700000000002</v>
      </c>
      <c r="U158" s="491">
        <f t="shared" si="62"/>
        <v>0</v>
      </c>
      <c r="V158" s="491"/>
      <c r="AC158" s="491"/>
    </row>
    <row r="159" spans="1:29" ht="31.2">
      <c r="A159" s="271" t="s">
        <v>35</v>
      </c>
      <c r="B159" s="297" t="s">
        <v>372</v>
      </c>
      <c r="C159" s="227" t="s">
        <v>532</v>
      </c>
      <c r="D159" s="402">
        <v>8022253</v>
      </c>
      <c r="E159" s="334">
        <v>1880</v>
      </c>
      <c r="F159" s="334">
        <v>1880</v>
      </c>
      <c r="G159" s="334">
        <v>0</v>
      </c>
      <c r="H159" s="415">
        <v>2700</v>
      </c>
      <c r="I159" s="334">
        <f>J159</f>
        <v>997.93</v>
      </c>
      <c r="J159" s="503">
        <v>997.93</v>
      </c>
      <c r="K159" s="407">
        <f t="shared" si="63"/>
        <v>36.96037037037037</v>
      </c>
      <c r="L159" s="733">
        <f>H159</f>
        <v>2700</v>
      </c>
      <c r="M159" s="407">
        <f t="shared" si="69"/>
        <v>100</v>
      </c>
      <c r="N159" s="417"/>
      <c r="O159" s="418"/>
      <c r="P159" s="718" t="s">
        <v>683</v>
      </c>
      <c r="Q159" s="255">
        <v>1</v>
      </c>
      <c r="R159" s="255">
        <v>1</v>
      </c>
      <c r="S159" s="255"/>
      <c r="T159" s="397">
        <f t="shared" si="72"/>
        <v>1702.0700000000002</v>
      </c>
      <c r="U159" s="491">
        <f t="shared" si="62"/>
        <v>0</v>
      </c>
      <c r="V159" s="491"/>
      <c r="AC159" s="491"/>
    </row>
    <row r="160" spans="1:29" ht="31.2">
      <c r="A160" s="271" t="s">
        <v>35</v>
      </c>
      <c r="B160" s="297" t="s">
        <v>373</v>
      </c>
      <c r="C160" s="255" t="s">
        <v>292</v>
      </c>
      <c r="D160" s="402">
        <v>8023044</v>
      </c>
      <c r="E160" s="334">
        <v>1200</v>
      </c>
      <c r="F160" s="334">
        <v>1200</v>
      </c>
      <c r="G160" s="334"/>
      <c r="H160" s="415">
        <v>815</v>
      </c>
      <c r="I160" s="334">
        <f>J160</f>
        <v>815</v>
      </c>
      <c r="J160" s="503">
        <v>815</v>
      </c>
      <c r="K160" s="407">
        <f t="shared" si="63"/>
        <v>100</v>
      </c>
      <c r="L160" s="733">
        <f>H160</f>
        <v>815</v>
      </c>
      <c r="M160" s="407">
        <f t="shared" si="69"/>
        <v>100</v>
      </c>
      <c r="N160" s="417"/>
      <c r="O160" s="417">
        <v>4</v>
      </c>
      <c r="P160" s="718" t="s">
        <v>554</v>
      </c>
      <c r="Q160" s="255">
        <v>1</v>
      </c>
      <c r="R160" s="255">
        <v>1</v>
      </c>
      <c r="S160" s="255">
        <v>1</v>
      </c>
      <c r="T160" s="397">
        <f t="shared" si="72"/>
        <v>0</v>
      </c>
      <c r="U160" s="491">
        <f t="shared" si="62"/>
        <v>0</v>
      </c>
      <c r="V160" s="491"/>
      <c r="AC160" s="491"/>
    </row>
    <row r="161" spans="1:29" ht="31.2">
      <c r="A161" s="271" t="s">
        <v>35</v>
      </c>
      <c r="B161" s="297" t="s">
        <v>374</v>
      </c>
      <c r="C161" s="255" t="s">
        <v>292</v>
      </c>
      <c r="D161" s="402">
        <v>8018934</v>
      </c>
      <c r="E161" s="334">
        <v>1200</v>
      </c>
      <c r="F161" s="334">
        <v>1200</v>
      </c>
      <c r="G161" s="334">
        <v>0</v>
      </c>
      <c r="H161" s="415">
        <v>1200</v>
      </c>
      <c r="I161" s="334">
        <f>J161</f>
        <v>600</v>
      </c>
      <c r="J161" s="503">
        <v>600</v>
      </c>
      <c r="K161" s="407">
        <f t="shared" si="63"/>
        <v>50</v>
      </c>
      <c r="L161" s="733">
        <f>H161</f>
        <v>1200</v>
      </c>
      <c r="M161" s="407">
        <f t="shared" si="69"/>
        <v>100</v>
      </c>
      <c r="N161" s="417"/>
      <c r="O161" s="417">
        <v>4</v>
      </c>
      <c r="P161" s="718" t="s">
        <v>688</v>
      </c>
      <c r="Q161" s="255">
        <v>1</v>
      </c>
      <c r="R161" s="255">
        <v>1</v>
      </c>
      <c r="S161" s="255">
        <v>1</v>
      </c>
      <c r="T161" s="397">
        <f t="shared" si="72"/>
        <v>600</v>
      </c>
      <c r="U161" s="491">
        <f t="shared" si="62"/>
        <v>0</v>
      </c>
      <c r="V161" s="491"/>
      <c r="AC161" s="491"/>
    </row>
    <row r="162" spans="1:29">
      <c r="A162" s="264">
        <v>4</v>
      </c>
      <c r="B162" s="194" t="s">
        <v>375</v>
      </c>
      <c r="C162" s="263"/>
      <c r="D162" s="402"/>
      <c r="E162" s="333">
        <f>E163+E166</f>
        <v>4399</v>
      </c>
      <c r="F162" s="333">
        <f t="shared" ref="F162:L162" si="75">F163+F166</f>
        <v>4399</v>
      </c>
      <c r="G162" s="333">
        <f t="shared" si="75"/>
        <v>1400</v>
      </c>
      <c r="H162" s="333">
        <f t="shared" si="75"/>
        <v>2999</v>
      </c>
      <c r="I162" s="333">
        <f t="shared" si="75"/>
        <v>2422.5039999999999</v>
      </c>
      <c r="J162" s="682">
        <f t="shared" si="75"/>
        <v>2422.5039999999999</v>
      </c>
      <c r="K162" s="395">
        <f t="shared" si="63"/>
        <v>80.777059019673231</v>
      </c>
      <c r="L162" s="333">
        <f t="shared" si="75"/>
        <v>2999</v>
      </c>
      <c r="M162" s="395">
        <f t="shared" si="69"/>
        <v>100</v>
      </c>
      <c r="N162" s="271"/>
      <c r="O162" s="271"/>
      <c r="P162" s="710"/>
      <c r="Q162" s="255"/>
      <c r="R162" s="255"/>
      <c r="S162" s="255"/>
      <c r="T162" s="397">
        <f t="shared" si="72"/>
        <v>576.49600000000009</v>
      </c>
      <c r="U162" s="491">
        <f t="shared" si="62"/>
        <v>0</v>
      </c>
      <c r="V162" s="491"/>
      <c r="AC162" s="491"/>
    </row>
    <row r="163" spans="1:29" ht="16.2">
      <c r="A163" s="298" t="s">
        <v>11</v>
      </c>
      <c r="B163" s="301" t="s">
        <v>337</v>
      </c>
      <c r="C163" s="263"/>
      <c r="D163" s="402"/>
      <c r="E163" s="343">
        <f>SUM(E164:E165)</f>
        <v>1600</v>
      </c>
      <c r="F163" s="343">
        <f t="shared" ref="F163:L163" si="76">SUM(F164:F165)</f>
        <v>1600</v>
      </c>
      <c r="G163" s="343">
        <f t="shared" si="76"/>
        <v>1400</v>
      </c>
      <c r="H163" s="343">
        <f t="shared" si="76"/>
        <v>200</v>
      </c>
      <c r="I163" s="343">
        <f t="shared" si="76"/>
        <v>162.47499999999999</v>
      </c>
      <c r="J163" s="504">
        <f t="shared" si="76"/>
        <v>162.47499999999999</v>
      </c>
      <c r="K163" s="395">
        <f t="shared" si="63"/>
        <v>81.237499999999997</v>
      </c>
      <c r="L163" s="343">
        <f t="shared" si="76"/>
        <v>200</v>
      </c>
      <c r="M163" s="395">
        <f t="shared" si="69"/>
        <v>100</v>
      </c>
      <c r="N163" s="271"/>
      <c r="O163" s="271"/>
      <c r="P163" s="710"/>
      <c r="Q163" s="255"/>
      <c r="R163" s="255"/>
      <c r="S163" s="255"/>
      <c r="T163" s="397">
        <f t="shared" si="72"/>
        <v>37.525000000000006</v>
      </c>
      <c r="U163" s="491">
        <f t="shared" si="62"/>
        <v>0</v>
      </c>
      <c r="V163" s="491"/>
      <c r="AC163" s="491"/>
    </row>
    <row r="164" spans="1:29" ht="31.2">
      <c r="A164" s="271" t="s">
        <v>35</v>
      </c>
      <c r="B164" s="297" t="s">
        <v>261</v>
      </c>
      <c r="C164" s="255" t="s">
        <v>287</v>
      </c>
      <c r="D164" s="402">
        <v>8005576</v>
      </c>
      <c r="E164" s="334">
        <v>800</v>
      </c>
      <c r="F164" s="334">
        <v>800</v>
      </c>
      <c r="G164" s="334">
        <v>700</v>
      </c>
      <c r="H164" s="415">
        <v>100</v>
      </c>
      <c r="I164" s="334">
        <f>J164</f>
        <v>88.491</v>
      </c>
      <c r="J164" s="503">
        <v>88.491</v>
      </c>
      <c r="K164" s="407">
        <f t="shared" si="63"/>
        <v>88.491</v>
      </c>
      <c r="L164" s="733">
        <f>H164</f>
        <v>100</v>
      </c>
      <c r="M164" s="407">
        <f t="shared" si="69"/>
        <v>100</v>
      </c>
      <c r="N164" s="271"/>
      <c r="O164" s="271">
        <v>3</v>
      </c>
      <c r="P164" s="710"/>
      <c r="Q164" s="255">
        <v>1</v>
      </c>
      <c r="R164" s="255"/>
      <c r="S164" s="255"/>
      <c r="T164" s="397">
        <f t="shared" si="72"/>
        <v>11.509</v>
      </c>
      <c r="U164" s="491">
        <f t="shared" si="62"/>
        <v>0</v>
      </c>
      <c r="V164" s="491"/>
      <c r="AC164" s="491"/>
    </row>
    <row r="165" spans="1:29" ht="31.2">
      <c r="A165" s="271" t="s">
        <v>35</v>
      </c>
      <c r="B165" s="297" t="s">
        <v>262</v>
      </c>
      <c r="C165" s="255" t="s">
        <v>287</v>
      </c>
      <c r="D165" s="341">
        <v>8005575</v>
      </c>
      <c r="E165" s="334">
        <v>800</v>
      </c>
      <c r="F165" s="334">
        <v>800</v>
      </c>
      <c r="G165" s="334">
        <v>700</v>
      </c>
      <c r="H165" s="334">
        <v>100</v>
      </c>
      <c r="I165" s="334">
        <f>J165</f>
        <v>73.983999999999995</v>
      </c>
      <c r="J165" s="503">
        <v>73.983999999999995</v>
      </c>
      <c r="K165" s="407">
        <f t="shared" si="63"/>
        <v>73.983999999999995</v>
      </c>
      <c r="L165" s="733">
        <f>H165</f>
        <v>100</v>
      </c>
      <c r="M165" s="407">
        <f t="shared" si="69"/>
        <v>100</v>
      </c>
      <c r="N165" s="271"/>
      <c r="O165" s="271">
        <v>3</v>
      </c>
      <c r="P165" s="710"/>
      <c r="Q165" s="255">
        <v>1</v>
      </c>
      <c r="R165" s="255"/>
      <c r="S165" s="255"/>
      <c r="T165" s="397">
        <f t="shared" si="72"/>
        <v>26.016000000000005</v>
      </c>
      <c r="U165" s="491">
        <f t="shared" si="62"/>
        <v>0</v>
      </c>
      <c r="V165" s="491"/>
      <c r="AC165" s="491"/>
    </row>
    <row r="166" spans="1:29" s="254" customFormat="1" ht="16.2">
      <c r="A166" s="298" t="s">
        <v>11</v>
      </c>
      <c r="B166" s="301" t="s">
        <v>360</v>
      </c>
      <c r="C166" s="255"/>
      <c r="D166" s="252"/>
      <c r="E166" s="343">
        <f>SUM(E167:E170)</f>
        <v>2799</v>
      </c>
      <c r="F166" s="343">
        <f t="shared" ref="F166:L166" si="77">SUM(F167:F170)</f>
        <v>2799</v>
      </c>
      <c r="G166" s="343">
        <f t="shared" si="77"/>
        <v>0</v>
      </c>
      <c r="H166" s="343">
        <f t="shared" si="77"/>
        <v>2799</v>
      </c>
      <c r="I166" s="343">
        <f t="shared" si="77"/>
        <v>2260.029</v>
      </c>
      <c r="J166" s="504">
        <f t="shared" si="77"/>
        <v>2260.029</v>
      </c>
      <c r="K166" s="395">
        <f t="shared" si="63"/>
        <v>80.744158628081451</v>
      </c>
      <c r="L166" s="343">
        <f t="shared" si="77"/>
        <v>2799</v>
      </c>
      <c r="M166" s="395">
        <f t="shared" si="69"/>
        <v>100</v>
      </c>
      <c r="N166" s="298"/>
      <c r="O166" s="298"/>
      <c r="P166" s="709"/>
      <c r="Q166" s="255"/>
      <c r="R166" s="255"/>
      <c r="S166" s="253"/>
      <c r="T166" s="397">
        <f t="shared" si="72"/>
        <v>538.971</v>
      </c>
      <c r="U166" s="491">
        <f t="shared" si="62"/>
        <v>0</v>
      </c>
      <c r="V166" s="491"/>
      <c r="AC166" s="491"/>
    </row>
    <row r="167" spans="1:29" ht="31.2">
      <c r="A167" s="271" t="s">
        <v>35</v>
      </c>
      <c r="B167" s="297" t="s">
        <v>376</v>
      </c>
      <c r="C167" s="227" t="s">
        <v>532</v>
      </c>
      <c r="D167" s="402">
        <v>8023841</v>
      </c>
      <c r="E167" s="334">
        <v>999</v>
      </c>
      <c r="F167" s="334">
        <v>999</v>
      </c>
      <c r="G167" s="334"/>
      <c r="H167" s="334">
        <v>999</v>
      </c>
      <c r="I167" s="334">
        <f>J167</f>
        <v>701.19799999999998</v>
      </c>
      <c r="J167" s="503">
        <v>701.19799999999998</v>
      </c>
      <c r="K167" s="407">
        <f t="shared" si="63"/>
        <v>70.189989989989982</v>
      </c>
      <c r="L167" s="733">
        <f>H167</f>
        <v>999</v>
      </c>
      <c r="M167" s="407">
        <f t="shared" si="69"/>
        <v>100</v>
      </c>
      <c r="N167" s="271"/>
      <c r="O167" s="418"/>
      <c r="P167" s="718" t="s">
        <v>688</v>
      </c>
      <c r="Q167" s="255">
        <v>1</v>
      </c>
      <c r="R167" s="255">
        <v>1</v>
      </c>
      <c r="S167" s="255"/>
      <c r="T167" s="397">
        <f t="shared" si="72"/>
        <v>297.80200000000002</v>
      </c>
      <c r="U167" s="491">
        <f t="shared" si="62"/>
        <v>0</v>
      </c>
      <c r="V167" s="491"/>
      <c r="AC167" s="491"/>
    </row>
    <row r="168" spans="1:29" ht="31.2">
      <c r="A168" s="271" t="s">
        <v>35</v>
      </c>
      <c r="B168" s="297" t="s">
        <v>377</v>
      </c>
      <c r="C168" s="255" t="s">
        <v>287</v>
      </c>
      <c r="D168" s="227">
        <v>8016499</v>
      </c>
      <c r="E168" s="334">
        <v>600</v>
      </c>
      <c r="F168" s="334">
        <v>600</v>
      </c>
      <c r="G168" s="334"/>
      <c r="H168" s="334">
        <v>600</v>
      </c>
      <c r="I168" s="334">
        <f>J168</f>
        <v>577.50599999999997</v>
      </c>
      <c r="J168" s="503">
        <v>577.50599999999997</v>
      </c>
      <c r="K168" s="407">
        <f t="shared" si="63"/>
        <v>96.251000000000005</v>
      </c>
      <c r="L168" s="733">
        <f>H168</f>
        <v>600</v>
      </c>
      <c r="M168" s="407">
        <f t="shared" si="69"/>
        <v>100</v>
      </c>
      <c r="N168" s="271"/>
      <c r="O168" s="271">
        <v>4</v>
      </c>
      <c r="P168" s="710"/>
      <c r="Q168" s="255">
        <v>1</v>
      </c>
      <c r="R168" s="255">
        <v>1</v>
      </c>
      <c r="S168" s="255">
        <v>1</v>
      </c>
      <c r="T168" s="397">
        <f t="shared" si="72"/>
        <v>22.494000000000028</v>
      </c>
      <c r="U168" s="491">
        <f t="shared" si="62"/>
        <v>0</v>
      </c>
      <c r="V168" s="491"/>
      <c r="AC168" s="491"/>
    </row>
    <row r="169" spans="1:29" ht="31.2">
      <c r="A169" s="271" t="s">
        <v>35</v>
      </c>
      <c r="B169" s="297" t="s">
        <v>378</v>
      </c>
      <c r="C169" s="255" t="s">
        <v>287</v>
      </c>
      <c r="D169" s="227">
        <v>8016498</v>
      </c>
      <c r="E169" s="334">
        <v>500</v>
      </c>
      <c r="F169" s="334">
        <v>500</v>
      </c>
      <c r="G169" s="334"/>
      <c r="H169" s="334">
        <v>500</v>
      </c>
      <c r="I169" s="334">
        <f>J169</f>
        <v>481.32499999999999</v>
      </c>
      <c r="J169" s="503">
        <v>481.32499999999999</v>
      </c>
      <c r="K169" s="407">
        <f t="shared" si="63"/>
        <v>96.265000000000001</v>
      </c>
      <c r="L169" s="733">
        <f>H169</f>
        <v>500</v>
      </c>
      <c r="M169" s="407">
        <f t="shared" si="69"/>
        <v>100</v>
      </c>
      <c r="N169" s="271"/>
      <c r="O169" s="271">
        <v>4</v>
      </c>
      <c r="P169" s="718"/>
      <c r="Q169" s="255">
        <v>1</v>
      </c>
      <c r="R169" s="255">
        <v>1</v>
      </c>
      <c r="S169" s="255">
        <v>1</v>
      </c>
      <c r="T169" s="397">
        <f t="shared" si="72"/>
        <v>18.675000000000011</v>
      </c>
      <c r="U169" s="491">
        <f t="shared" si="62"/>
        <v>0</v>
      </c>
      <c r="V169" s="491"/>
      <c r="AC169" s="491"/>
    </row>
    <row r="170" spans="1:29" ht="31.2">
      <c r="A170" s="271" t="s">
        <v>35</v>
      </c>
      <c r="B170" s="297" t="s">
        <v>379</v>
      </c>
      <c r="C170" s="255" t="s">
        <v>287</v>
      </c>
      <c r="D170" s="227">
        <v>8016500</v>
      </c>
      <c r="E170" s="334">
        <v>700</v>
      </c>
      <c r="F170" s="334">
        <v>700</v>
      </c>
      <c r="G170" s="334"/>
      <c r="H170" s="334">
        <v>700</v>
      </c>
      <c r="I170" s="334">
        <f>J170</f>
        <v>500</v>
      </c>
      <c r="J170" s="503">
        <v>500</v>
      </c>
      <c r="K170" s="407">
        <f t="shared" si="63"/>
        <v>71.428571428571431</v>
      </c>
      <c r="L170" s="733">
        <f>H170</f>
        <v>700</v>
      </c>
      <c r="M170" s="407">
        <f t="shared" si="69"/>
        <v>100</v>
      </c>
      <c r="N170" s="271"/>
      <c r="O170" s="271">
        <v>4</v>
      </c>
      <c r="P170" s="718" t="s">
        <v>688</v>
      </c>
      <c r="Q170" s="255">
        <v>1</v>
      </c>
      <c r="R170" s="255">
        <v>1</v>
      </c>
      <c r="S170" s="255">
        <v>1</v>
      </c>
      <c r="T170" s="397">
        <f t="shared" si="72"/>
        <v>200</v>
      </c>
      <c r="U170" s="491">
        <f t="shared" si="62"/>
        <v>0</v>
      </c>
      <c r="V170" s="491"/>
      <c r="AC170" s="491"/>
    </row>
    <row r="171" spans="1:29" s="254" customFormat="1">
      <c r="A171" s="264">
        <v>5</v>
      </c>
      <c r="B171" s="296" t="s">
        <v>239</v>
      </c>
      <c r="C171" s="263"/>
      <c r="D171" s="252"/>
      <c r="E171" s="333">
        <f>E172+E174</f>
        <v>3704</v>
      </c>
      <c r="F171" s="333">
        <f t="shared" ref="F171:L171" si="78">F172+F174</f>
        <v>3704</v>
      </c>
      <c r="G171" s="333">
        <f t="shared" si="78"/>
        <v>574</v>
      </c>
      <c r="H171" s="333">
        <f t="shared" si="78"/>
        <v>2130</v>
      </c>
      <c r="I171" s="333">
        <f t="shared" si="78"/>
        <v>2068.3069999999998</v>
      </c>
      <c r="J171" s="682">
        <f t="shared" si="78"/>
        <v>2068.3069999999998</v>
      </c>
      <c r="K171" s="395">
        <f t="shared" si="63"/>
        <v>97.103615023474163</v>
      </c>
      <c r="L171" s="333">
        <f t="shared" si="78"/>
        <v>2130</v>
      </c>
      <c r="M171" s="395">
        <f t="shared" si="69"/>
        <v>100</v>
      </c>
      <c r="N171" s="271"/>
      <c r="O171" s="271"/>
      <c r="P171" s="709"/>
      <c r="Q171" s="255"/>
      <c r="R171" s="255"/>
      <c r="S171" s="253"/>
      <c r="T171" s="397">
        <f t="shared" si="72"/>
        <v>61.693000000000211</v>
      </c>
      <c r="U171" s="491">
        <f t="shared" si="62"/>
        <v>0</v>
      </c>
      <c r="V171" s="491"/>
      <c r="AC171" s="491"/>
    </row>
    <row r="172" spans="1:29" s="344" customFormat="1" ht="16.2">
      <c r="A172" s="298" t="s">
        <v>11</v>
      </c>
      <c r="B172" s="301" t="s">
        <v>337</v>
      </c>
      <c r="C172" s="383"/>
      <c r="D172" s="379"/>
      <c r="E172" s="343">
        <f>E173</f>
        <v>610</v>
      </c>
      <c r="F172" s="343">
        <f t="shared" ref="F172:L172" si="79">F173</f>
        <v>610</v>
      </c>
      <c r="G172" s="343">
        <f t="shared" si="79"/>
        <v>574</v>
      </c>
      <c r="H172" s="343">
        <f t="shared" si="79"/>
        <v>36</v>
      </c>
      <c r="I172" s="343">
        <f t="shared" si="79"/>
        <v>0</v>
      </c>
      <c r="J172" s="504">
        <f t="shared" si="79"/>
        <v>0</v>
      </c>
      <c r="K172" s="395">
        <f t="shared" si="63"/>
        <v>0</v>
      </c>
      <c r="L172" s="343">
        <f t="shared" si="79"/>
        <v>36</v>
      </c>
      <c r="M172" s="395">
        <f t="shared" si="69"/>
        <v>100</v>
      </c>
      <c r="N172" s="298"/>
      <c r="O172" s="298"/>
      <c r="P172" s="717"/>
      <c r="Q172" s="257"/>
      <c r="R172" s="257"/>
      <c r="S172" s="257"/>
      <c r="T172" s="425">
        <f t="shared" si="72"/>
        <v>36</v>
      </c>
      <c r="U172" s="491">
        <f t="shared" si="62"/>
        <v>0</v>
      </c>
      <c r="V172" s="491"/>
      <c r="AC172" s="491"/>
    </row>
    <row r="173" spans="1:29">
      <c r="A173" s="271" t="s">
        <v>35</v>
      </c>
      <c r="B173" s="297" t="s">
        <v>263</v>
      </c>
      <c r="C173" s="227" t="s">
        <v>179</v>
      </c>
      <c r="D173" s="402">
        <v>8004997</v>
      </c>
      <c r="E173" s="334">
        <v>610</v>
      </c>
      <c r="F173" s="334">
        <v>610</v>
      </c>
      <c r="G173" s="334">
        <v>574</v>
      </c>
      <c r="H173" s="334">
        <v>36</v>
      </c>
      <c r="I173" s="334"/>
      <c r="J173" s="503"/>
      <c r="K173" s="407">
        <f t="shared" si="63"/>
        <v>0</v>
      </c>
      <c r="L173" s="733">
        <f>H173</f>
        <v>36</v>
      </c>
      <c r="M173" s="407">
        <f t="shared" si="69"/>
        <v>100</v>
      </c>
      <c r="N173" s="416"/>
      <c r="O173" s="271">
        <v>3</v>
      </c>
      <c r="P173" s="710"/>
      <c r="Q173" s="255">
        <v>1</v>
      </c>
      <c r="R173" s="255"/>
      <c r="S173" s="255"/>
      <c r="T173" s="397">
        <f t="shared" si="72"/>
        <v>36</v>
      </c>
      <c r="U173" s="491">
        <f t="shared" si="62"/>
        <v>0</v>
      </c>
      <c r="V173" s="491"/>
      <c r="AC173" s="491"/>
    </row>
    <row r="174" spans="1:29" ht="16.2">
      <c r="A174" s="298" t="s">
        <v>11</v>
      </c>
      <c r="B174" s="301" t="s">
        <v>360</v>
      </c>
      <c r="C174" s="227"/>
      <c r="D174" s="402"/>
      <c r="E174" s="343">
        <f>SUM(E175:E176)</f>
        <v>3094</v>
      </c>
      <c r="F174" s="343">
        <f t="shared" ref="F174:L174" si="80">SUM(F175:F176)</f>
        <v>3094</v>
      </c>
      <c r="G174" s="343">
        <f t="shared" si="80"/>
        <v>0</v>
      </c>
      <c r="H174" s="343">
        <f t="shared" si="80"/>
        <v>2094</v>
      </c>
      <c r="I174" s="343">
        <f t="shared" si="80"/>
        <v>2068.3069999999998</v>
      </c>
      <c r="J174" s="504">
        <f t="shared" si="80"/>
        <v>2068.3069999999998</v>
      </c>
      <c r="K174" s="395">
        <f t="shared" si="63"/>
        <v>98.773018147086901</v>
      </c>
      <c r="L174" s="343">
        <f t="shared" si="80"/>
        <v>2094</v>
      </c>
      <c r="M174" s="407">
        <f t="shared" si="69"/>
        <v>100</v>
      </c>
      <c r="N174" s="271"/>
      <c r="O174" s="271"/>
      <c r="P174" s="710"/>
      <c r="Q174" s="255"/>
      <c r="R174" s="255"/>
      <c r="S174" s="255"/>
      <c r="T174" s="397">
        <f t="shared" si="72"/>
        <v>25.693000000000211</v>
      </c>
      <c r="U174" s="491">
        <f t="shared" si="62"/>
        <v>0</v>
      </c>
      <c r="V174" s="491"/>
      <c r="AC174" s="491"/>
    </row>
    <row r="175" spans="1:29">
      <c r="A175" s="271" t="s">
        <v>35</v>
      </c>
      <c r="B175" s="297" t="s">
        <v>380</v>
      </c>
      <c r="C175" s="227" t="s">
        <v>179</v>
      </c>
      <c r="D175" s="227">
        <v>8017092</v>
      </c>
      <c r="E175" s="334">
        <v>594</v>
      </c>
      <c r="F175" s="334">
        <v>594</v>
      </c>
      <c r="G175" s="334"/>
      <c r="H175" s="334">
        <v>594</v>
      </c>
      <c r="I175" s="334">
        <f>J175</f>
        <v>568.30700000000002</v>
      </c>
      <c r="J175" s="503">
        <v>568.30700000000002</v>
      </c>
      <c r="K175" s="407">
        <f t="shared" si="63"/>
        <v>95.674579124579125</v>
      </c>
      <c r="L175" s="733">
        <f>H175</f>
        <v>594</v>
      </c>
      <c r="M175" s="407">
        <f t="shared" si="69"/>
        <v>100</v>
      </c>
      <c r="N175" s="416"/>
      <c r="O175" s="271">
        <v>4</v>
      </c>
      <c r="P175" s="710"/>
      <c r="Q175" s="255">
        <v>1</v>
      </c>
      <c r="R175" s="255">
        <v>1</v>
      </c>
      <c r="S175" s="255">
        <v>1</v>
      </c>
      <c r="T175" s="397">
        <f t="shared" si="72"/>
        <v>25.692999999999984</v>
      </c>
      <c r="U175" s="491">
        <f t="shared" si="62"/>
        <v>0</v>
      </c>
      <c r="V175" s="491"/>
      <c r="AC175" s="491"/>
    </row>
    <row r="176" spans="1:29">
      <c r="A176" s="271" t="s">
        <v>35</v>
      </c>
      <c r="B176" s="297" t="s">
        <v>381</v>
      </c>
      <c r="C176" s="227" t="s">
        <v>179</v>
      </c>
      <c r="D176" s="227">
        <v>8017094</v>
      </c>
      <c r="E176" s="334">
        <v>2500</v>
      </c>
      <c r="F176" s="334">
        <v>2500</v>
      </c>
      <c r="G176" s="334"/>
      <c r="H176" s="334">
        <v>1500</v>
      </c>
      <c r="I176" s="334">
        <v>1500</v>
      </c>
      <c r="J176" s="503">
        <v>1500</v>
      </c>
      <c r="K176" s="407">
        <f t="shared" si="63"/>
        <v>100</v>
      </c>
      <c r="L176" s="733">
        <f>H176</f>
        <v>1500</v>
      </c>
      <c r="M176" s="407">
        <f t="shared" si="69"/>
        <v>100</v>
      </c>
      <c r="N176" s="416"/>
      <c r="O176" s="271">
        <v>4</v>
      </c>
      <c r="P176" s="710"/>
      <c r="Q176" s="255">
        <v>1</v>
      </c>
      <c r="R176" s="255">
        <v>1</v>
      </c>
      <c r="S176" s="255">
        <v>1</v>
      </c>
      <c r="T176" s="397">
        <f t="shared" si="72"/>
        <v>0</v>
      </c>
      <c r="U176" s="491">
        <f t="shared" si="62"/>
        <v>0</v>
      </c>
      <c r="V176" s="491"/>
      <c r="AC176" s="491"/>
    </row>
    <row r="177" spans="1:29">
      <c r="A177" s="264">
        <v>6</v>
      </c>
      <c r="B177" s="296" t="s">
        <v>243</v>
      </c>
      <c r="C177" s="263"/>
      <c r="D177" s="402"/>
      <c r="E177" s="333">
        <f>E178+E181</f>
        <v>9600</v>
      </c>
      <c r="F177" s="333">
        <f t="shared" ref="F177:L177" si="81">F178+F181</f>
        <v>8600</v>
      </c>
      <c r="G177" s="333">
        <f t="shared" si="81"/>
        <v>1922</v>
      </c>
      <c r="H177" s="333">
        <f t="shared" si="81"/>
        <v>4100</v>
      </c>
      <c r="I177" s="333">
        <f t="shared" si="81"/>
        <v>2728.5412999999999</v>
      </c>
      <c r="J177" s="682">
        <f t="shared" si="81"/>
        <v>2728.5412999999999</v>
      </c>
      <c r="K177" s="395">
        <f t="shared" si="63"/>
        <v>66.549787804878051</v>
      </c>
      <c r="L177" s="333">
        <f t="shared" si="81"/>
        <v>4100</v>
      </c>
      <c r="M177" s="395">
        <f t="shared" si="69"/>
        <v>100</v>
      </c>
      <c r="N177" s="271"/>
      <c r="O177" s="271"/>
      <c r="P177" s="710"/>
      <c r="Q177" s="255"/>
      <c r="R177" s="255"/>
      <c r="S177" s="255"/>
      <c r="T177" s="397">
        <f t="shared" si="72"/>
        <v>1371.4587000000001</v>
      </c>
      <c r="U177" s="491">
        <f t="shared" si="62"/>
        <v>0</v>
      </c>
      <c r="V177" s="491"/>
      <c r="AC177" s="491"/>
    </row>
    <row r="178" spans="1:29" ht="16.2">
      <c r="A178" s="298" t="s">
        <v>11</v>
      </c>
      <c r="B178" s="301" t="s">
        <v>337</v>
      </c>
      <c r="C178" s="263"/>
      <c r="D178" s="402"/>
      <c r="E178" s="343">
        <f>SUM(E179:E180)</f>
        <v>2500</v>
      </c>
      <c r="F178" s="343">
        <f t="shared" ref="F178:L178" si="82">SUM(F179:F180)</f>
        <v>2500</v>
      </c>
      <c r="G178" s="343">
        <f t="shared" si="82"/>
        <v>1922</v>
      </c>
      <c r="H178" s="343">
        <f t="shared" si="82"/>
        <v>500</v>
      </c>
      <c r="I178" s="343">
        <f t="shared" si="82"/>
        <v>457.17899999999997</v>
      </c>
      <c r="J178" s="504">
        <f t="shared" si="82"/>
        <v>457.17899999999997</v>
      </c>
      <c r="K178" s="395">
        <f t="shared" si="63"/>
        <v>91.435799999999986</v>
      </c>
      <c r="L178" s="343">
        <f t="shared" si="82"/>
        <v>500</v>
      </c>
      <c r="M178" s="395">
        <f t="shared" si="69"/>
        <v>100</v>
      </c>
      <c r="N178" s="271"/>
      <c r="O178" s="271"/>
      <c r="P178" s="710"/>
      <c r="Q178" s="255"/>
      <c r="R178" s="255"/>
      <c r="S178" s="255"/>
      <c r="T178" s="397">
        <f t="shared" si="72"/>
        <v>42.821000000000026</v>
      </c>
      <c r="U178" s="491">
        <f t="shared" si="62"/>
        <v>0</v>
      </c>
      <c r="V178" s="491"/>
      <c r="AC178" s="491"/>
    </row>
    <row r="179" spans="1:29">
      <c r="A179" s="271" t="s">
        <v>35</v>
      </c>
      <c r="B179" s="297" t="s">
        <v>264</v>
      </c>
      <c r="C179" s="227" t="s">
        <v>291</v>
      </c>
      <c r="D179" s="402">
        <v>7991260</v>
      </c>
      <c r="E179" s="334">
        <v>1000</v>
      </c>
      <c r="F179" s="334">
        <v>1000</v>
      </c>
      <c r="G179" s="334">
        <v>500</v>
      </c>
      <c r="H179" s="334">
        <v>500</v>
      </c>
      <c r="I179" s="334">
        <f>J179</f>
        <v>457.17899999999997</v>
      </c>
      <c r="J179" s="503">
        <v>457.17899999999997</v>
      </c>
      <c r="K179" s="407">
        <f t="shared" si="63"/>
        <v>91.435799999999986</v>
      </c>
      <c r="L179" s="733">
        <f>H179</f>
        <v>500</v>
      </c>
      <c r="M179" s="407">
        <f t="shared" ref="M179" si="83">L179/H179*100</f>
        <v>100</v>
      </c>
      <c r="N179" s="417"/>
      <c r="O179" s="271">
        <v>3</v>
      </c>
      <c r="P179" s="710"/>
      <c r="Q179" s="255">
        <v>1</v>
      </c>
      <c r="R179" s="255"/>
      <c r="S179" s="255"/>
      <c r="T179" s="397">
        <f t="shared" si="72"/>
        <v>42.821000000000026</v>
      </c>
      <c r="U179" s="491">
        <f t="shared" si="62"/>
        <v>0</v>
      </c>
      <c r="V179" s="491"/>
      <c r="AC179" s="491"/>
    </row>
    <row r="180" spans="1:29" ht="32.4" customHeight="1">
      <c r="A180" s="271" t="s">
        <v>35</v>
      </c>
      <c r="B180" s="297" t="s">
        <v>265</v>
      </c>
      <c r="C180" s="227" t="s">
        <v>532</v>
      </c>
      <c r="D180" s="402">
        <v>8004524</v>
      </c>
      <c r="E180" s="334">
        <v>1500</v>
      </c>
      <c r="F180" s="334">
        <v>1500</v>
      </c>
      <c r="G180" s="334">
        <v>1422</v>
      </c>
      <c r="H180" s="334">
        <v>0</v>
      </c>
      <c r="I180" s="334"/>
      <c r="J180" s="503"/>
      <c r="K180" s="407"/>
      <c r="L180" s="733">
        <f>H180</f>
        <v>0</v>
      </c>
      <c r="M180" s="407"/>
      <c r="N180" s="417"/>
      <c r="O180" s="271"/>
      <c r="P180" s="718" t="s">
        <v>554</v>
      </c>
      <c r="Q180" s="255"/>
      <c r="R180" s="255"/>
      <c r="S180" s="255"/>
      <c r="T180" s="397">
        <f t="shared" si="72"/>
        <v>0</v>
      </c>
      <c r="U180" s="491">
        <f t="shared" si="62"/>
        <v>0</v>
      </c>
      <c r="V180" s="491"/>
      <c r="AC180" s="491"/>
    </row>
    <row r="181" spans="1:29" ht="16.2">
      <c r="A181" s="298" t="s">
        <v>11</v>
      </c>
      <c r="B181" s="301" t="s">
        <v>360</v>
      </c>
      <c r="C181" s="383"/>
      <c r="D181" s="402"/>
      <c r="E181" s="343">
        <f>SUM(E182:E183)</f>
        <v>7100</v>
      </c>
      <c r="F181" s="343">
        <f t="shared" ref="F181:L181" si="84">SUM(F182:F183)</f>
        <v>6100</v>
      </c>
      <c r="G181" s="343">
        <f t="shared" si="84"/>
        <v>0</v>
      </c>
      <c r="H181" s="343">
        <f t="shared" si="84"/>
        <v>3600</v>
      </c>
      <c r="I181" s="343">
        <f t="shared" si="84"/>
        <v>2271.3622999999998</v>
      </c>
      <c r="J181" s="504">
        <f t="shared" si="84"/>
        <v>2271.3622999999998</v>
      </c>
      <c r="K181" s="395">
        <f t="shared" si="63"/>
        <v>63.093397222222215</v>
      </c>
      <c r="L181" s="343">
        <f t="shared" si="84"/>
        <v>3600</v>
      </c>
      <c r="M181" s="395">
        <f t="shared" ref="M181:M226" si="85">L181/H181*100</f>
        <v>100</v>
      </c>
      <c r="N181" s="271"/>
      <c r="O181" s="271"/>
      <c r="P181" s="710"/>
      <c r="Q181" s="255"/>
      <c r="R181" s="255"/>
      <c r="S181" s="255"/>
      <c r="T181" s="397">
        <f t="shared" si="72"/>
        <v>1328.6377000000002</v>
      </c>
      <c r="U181" s="491">
        <f t="shared" si="62"/>
        <v>0</v>
      </c>
      <c r="V181" s="491"/>
      <c r="AC181" s="491"/>
    </row>
    <row r="182" spans="1:29" ht="16.2">
      <c r="A182" s="298" t="s">
        <v>35</v>
      </c>
      <c r="B182" s="297" t="s">
        <v>382</v>
      </c>
      <c r="C182" s="227" t="s">
        <v>174</v>
      </c>
      <c r="D182" s="402">
        <v>8021026</v>
      </c>
      <c r="E182" s="334">
        <v>1100</v>
      </c>
      <c r="F182" s="334">
        <v>1100</v>
      </c>
      <c r="G182" s="334"/>
      <c r="H182" s="334">
        <v>1100</v>
      </c>
      <c r="I182" s="334">
        <v>315.78629999999998</v>
      </c>
      <c r="J182" s="503">
        <v>315.78629999999998</v>
      </c>
      <c r="K182" s="407">
        <f t="shared" si="63"/>
        <v>28.707845454545456</v>
      </c>
      <c r="L182" s="733">
        <f>H182</f>
        <v>1100</v>
      </c>
      <c r="M182" s="407">
        <f t="shared" si="85"/>
        <v>100</v>
      </c>
      <c r="N182" s="417"/>
      <c r="O182" s="417">
        <v>4</v>
      </c>
      <c r="P182" s="718" t="s">
        <v>683</v>
      </c>
      <c r="Q182" s="255">
        <v>1</v>
      </c>
      <c r="R182" s="255">
        <v>1</v>
      </c>
      <c r="S182" s="255">
        <v>1</v>
      </c>
      <c r="T182" s="397">
        <f t="shared" si="72"/>
        <v>784.21370000000002</v>
      </c>
      <c r="U182" s="491">
        <f t="shared" si="62"/>
        <v>0</v>
      </c>
      <c r="V182" s="491"/>
      <c r="AC182" s="491"/>
    </row>
    <row r="183" spans="1:29" ht="31.2">
      <c r="A183" s="271" t="s">
        <v>35</v>
      </c>
      <c r="B183" s="297" t="s">
        <v>383</v>
      </c>
      <c r="C183" s="227" t="s">
        <v>532</v>
      </c>
      <c r="D183" s="402">
        <v>8025148</v>
      </c>
      <c r="E183" s="334">
        <v>6000</v>
      </c>
      <c r="F183" s="334">
        <v>5000</v>
      </c>
      <c r="G183" s="334"/>
      <c r="H183" s="334">
        <v>2500</v>
      </c>
      <c r="I183" s="334">
        <f>J183</f>
        <v>1955.576</v>
      </c>
      <c r="J183" s="503">
        <v>1955.576</v>
      </c>
      <c r="K183" s="407">
        <f t="shared" si="63"/>
        <v>78.223039999999997</v>
      </c>
      <c r="L183" s="733">
        <f>H183</f>
        <v>2500</v>
      </c>
      <c r="M183" s="407">
        <f t="shared" si="85"/>
        <v>100</v>
      </c>
      <c r="N183" s="417"/>
      <c r="O183" s="418"/>
      <c r="P183" s="718" t="s">
        <v>683</v>
      </c>
      <c r="Q183" s="255">
        <v>1</v>
      </c>
      <c r="R183" s="255">
        <v>1</v>
      </c>
      <c r="S183" s="255"/>
      <c r="T183" s="397">
        <f t="shared" si="72"/>
        <v>544.42399999999998</v>
      </c>
      <c r="U183" s="491">
        <f t="shared" si="62"/>
        <v>0</v>
      </c>
      <c r="V183" s="491"/>
      <c r="AC183" s="491"/>
    </row>
    <row r="184" spans="1:29">
      <c r="A184" s="264">
        <v>7</v>
      </c>
      <c r="B184" s="296" t="s">
        <v>244</v>
      </c>
      <c r="C184" s="263"/>
      <c r="D184" s="402"/>
      <c r="E184" s="333">
        <f>E185+E188</f>
        <v>7955</v>
      </c>
      <c r="F184" s="333">
        <f t="shared" ref="F184:L184" si="86">F185+F188</f>
        <v>7955</v>
      </c>
      <c r="G184" s="333">
        <f t="shared" si="86"/>
        <v>1475</v>
      </c>
      <c r="H184" s="333">
        <f t="shared" si="86"/>
        <v>5980</v>
      </c>
      <c r="I184" s="333">
        <f t="shared" si="86"/>
        <v>3473.4841999999999</v>
      </c>
      <c r="J184" s="682">
        <f t="shared" si="86"/>
        <v>3473.4841999999999</v>
      </c>
      <c r="K184" s="395">
        <f t="shared" si="63"/>
        <v>58.085020066889626</v>
      </c>
      <c r="L184" s="333">
        <f t="shared" si="86"/>
        <v>5980</v>
      </c>
      <c r="M184" s="395">
        <f t="shared" si="85"/>
        <v>100</v>
      </c>
      <c r="N184" s="271"/>
      <c r="O184" s="271"/>
      <c r="P184" s="710"/>
      <c r="Q184" s="255"/>
      <c r="R184" s="255"/>
      <c r="S184" s="255"/>
      <c r="T184" s="397">
        <f t="shared" si="72"/>
        <v>2506.5158000000001</v>
      </c>
      <c r="U184" s="491">
        <f t="shared" si="62"/>
        <v>0</v>
      </c>
      <c r="V184" s="491"/>
      <c r="AC184" s="491"/>
    </row>
    <row r="185" spans="1:29" ht="16.2">
      <c r="A185" s="298" t="s">
        <v>11</v>
      </c>
      <c r="B185" s="301" t="s">
        <v>337</v>
      </c>
      <c r="C185" s="263"/>
      <c r="D185" s="341"/>
      <c r="E185" s="343">
        <f>SUM(E186:E187)</f>
        <v>2955</v>
      </c>
      <c r="F185" s="343">
        <f t="shared" ref="F185:L185" si="87">SUM(F186:F187)</f>
        <v>2955</v>
      </c>
      <c r="G185" s="343">
        <f t="shared" si="87"/>
        <v>1475</v>
      </c>
      <c r="H185" s="343">
        <f t="shared" si="87"/>
        <v>1480</v>
      </c>
      <c r="I185" s="343">
        <f t="shared" si="87"/>
        <v>918.60120000000006</v>
      </c>
      <c r="J185" s="504">
        <f t="shared" si="87"/>
        <v>918.60120000000006</v>
      </c>
      <c r="K185" s="395">
        <f t="shared" si="63"/>
        <v>62.067648648648657</v>
      </c>
      <c r="L185" s="343">
        <f t="shared" si="87"/>
        <v>1480</v>
      </c>
      <c r="M185" s="395">
        <f t="shared" si="85"/>
        <v>100</v>
      </c>
      <c r="N185" s="271"/>
      <c r="O185" s="271"/>
      <c r="P185" s="710"/>
      <c r="Q185" s="255"/>
      <c r="R185" s="255"/>
      <c r="S185" s="255"/>
      <c r="T185" s="397">
        <f t="shared" si="72"/>
        <v>561.39879999999994</v>
      </c>
      <c r="U185" s="491">
        <f t="shared" si="62"/>
        <v>0</v>
      </c>
      <c r="V185" s="491"/>
      <c r="AC185" s="491"/>
    </row>
    <row r="186" spans="1:29">
      <c r="A186" s="271" t="s">
        <v>35</v>
      </c>
      <c r="B186" s="297" t="s">
        <v>266</v>
      </c>
      <c r="C186" s="227" t="s">
        <v>180</v>
      </c>
      <c r="D186" s="426">
        <v>8004945</v>
      </c>
      <c r="E186" s="334">
        <v>1475</v>
      </c>
      <c r="F186" s="334">
        <v>1475</v>
      </c>
      <c r="G186" s="334">
        <v>775</v>
      </c>
      <c r="H186" s="334">
        <v>700</v>
      </c>
      <c r="I186" s="334">
        <f>J186</f>
        <v>438.64600000000002</v>
      </c>
      <c r="J186" s="503">
        <v>438.64600000000002</v>
      </c>
      <c r="K186" s="407">
        <f t="shared" si="63"/>
        <v>62.663714285714292</v>
      </c>
      <c r="L186" s="733">
        <f>H186</f>
        <v>700</v>
      </c>
      <c r="M186" s="407">
        <f t="shared" si="85"/>
        <v>100</v>
      </c>
      <c r="N186" s="417"/>
      <c r="O186" s="417">
        <v>3</v>
      </c>
      <c r="P186" s="710"/>
      <c r="Q186" s="255">
        <v>1</v>
      </c>
      <c r="R186" s="255"/>
      <c r="S186" s="255"/>
      <c r="T186" s="397">
        <f t="shared" si="72"/>
        <v>261.35399999999998</v>
      </c>
      <c r="U186" s="491">
        <f t="shared" si="62"/>
        <v>0</v>
      </c>
      <c r="V186" s="491"/>
      <c r="AC186" s="491"/>
    </row>
    <row r="187" spans="1:29">
      <c r="A187" s="271" t="s">
        <v>35</v>
      </c>
      <c r="B187" s="297" t="s">
        <v>267</v>
      </c>
      <c r="C187" s="227" t="s">
        <v>180</v>
      </c>
      <c r="D187" s="341">
        <v>8004944</v>
      </c>
      <c r="E187" s="334">
        <v>1480</v>
      </c>
      <c r="F187" s="334">
        <v>1480</v>
      </c>
      <c r="G187" s="334">
        <v>700</v>
      </c>
      <c r="H187" s="334">
        <v>780</v>
      </c>
      <c r="I187" s="334">
        <f>J187</f>
        <v>479.95519999999999</v>
      </c>
      <c r="J187" s="503">
        <v>479.95519999999999</v>
      </c>
      <c r="K187" s="407">
        <f t="shared" si="63"/>
        <v>61.532717948717952</v>
      </c>
      <c r="L187" s="733">
        <f>H187</f>
        <v>780</v>
      </c>
      <c r="M187" s="407">
        <f t="shared" si="85"/>
        <v>100</v>
      </c>
      <c r="N187" s="417"/>
      <c r="O187" s="417">
        <v>3</v>
      </c>
      <c r="P187" s="710"/>
      <c r="Q187" s="255">
        <v>1</v>
      </c>
      <c r="R187" s="255"/>
      <c r="S187" s="255"/>
      <c r="T187" s="397">
        <f t="shared" si="72"/>
        <v>300.04480000000001</v>
      </c>
      <c r="U187" s="491">
        <f t="shared" si="62"/>
        <v>0</v>
      </c>
      <c r="V187" s="491"/>
      <c r="AC187" s="491"/>
    </row>
    <row r="188" spans="1:29" s="254" customFormat="1" ht="16.2">
      <c r="A188" s="298" t="s">
        <v>11</v>
      </c>
      <c r="B188" s="301" t="s">
        <v>360</v>
      </c>
      <c r="C188" s="227"/>
      <c r="D188" s="252"/>
      <c r="E188" s="343">
        <f>SUM(E189:E190)</f>
        <v>5000</v>
      </c>
      <c r="F188" s="343">
        <f t="shared" ref="F188:L188" si="88">SUM(F189:F190)</f>
        <v>5000</v>
      </c>
      <c r="G188" s="343">
        <f t="shared" si="88"/>
        <v>0</v>
      </c>
      <c r="H188" s="343">
        <f t="shared" si="88"/>
        <v>4500</v>
      </c>
      <c r="I188" s="343">
        <f t="shared" si="88"/>
        <v>2554.8829999999998</v>
      </c>
      <c r="J188" s="504">
        <f t="shared" si="88"/>
        <v>2554.8829999999998</v>
      </c>
      <c r="K188" s="395">
        <f t="shared" si="63"/>
        <v>56.775177777777778</v>
      </c>
      <c r="L188" s="343">
        <f t="shared" si="88"/>
        <v>4500</v>
      </c>
      <c r="M188" s="395">
        <f t="shared" si="85"/>
        <v>100</v>
      </c>
      <c r="N188" s="271"/>
      <c r="O188" s="271"/>
      <c r="P188" s="709"/>
      <c r="Q188" s="255"/>
      <c r="R188" s="255"/>
      <c r="S188" s="253"/>
      <c r="T188" s="397">
        <f t="shared" si="72"/>
        <v>1945.1170000000002</v>
      </c>
      <c r="U188" s="491">
        <f t="shared" si="62"/>
        <v>0</v>
      </c>
      <c r="V188" s="491"/>
      <c r="AC188" s="491"/>
    </row>
    <row r="189" spans="1:29" ht="31.2">
      <c r="A189" s="271" t="s">
        <v>35</v>
      </c>
      <c r="B189" s="297" t="s">
        <v>384</v>
      </c>
      <c r="C189" s="227" t="s">
        <v>532</v>
      </c>
      <c r="D189" s="271">
        <v>8022245</v>
      </c>
      <c r="E189" s="334">
        <v>3000</v>
      </c>
      <c r="F189" s="334">
        <v>3000</v>
      </c>
      <c r="G189" s="334">
        <v>0</v>
      </c>
      <c r="H189" s="334">
        <v>2500</v>
      </c>
      <c r="I189" s="334">
        <f>J189</f>
        <v>1290.883</v>
      </c>
      <c r="J189" s="503">
        <v>1290.883</v>
      </c>
      <c r="K189" s="407">
        <f t="shared" si="63"/>
        <v>51.635320000000007</v>
      </c>
      <c r="L189" s="733">
        <f>H189</f>
        <v>2500</v>
      </c>
      <c r="M189" s="407">
        <f t="shared" si="85"/>
        <v>100</v>
      </c>
      <c r="N189" s="417"/>
      <c r="O189" s="418"/>
      <c r="P189" s="718" t="s">
        <v>683</v>
      </c>
      <c r="Q189" s="255">
        <v>1</v>
      </c>
      <c r="R189" s="255">
        <v>1</v>
      </c>
      <c r="S189" s="255"/>
      <c r="T189" s="397">
        <f t="shared" si="72"/>
        <v>1209.117</v>
      </c>
      <c r="U189" s="491">
        <f t="shared" si="62"/>
        <v>0</v>
      </c>
      <c r="V189" s="491"/>
      <c r="AC189" s="491"/>
    </row>
    <row r="190" spans="1:29">
      <c r="A190" s="271" t="s">
        <v>35</v>
      </c>
      <c r="B190" s="297" t="s">
        <v>385</v>
      </c>
      <c r="C190" s="227" t="s">
        <v>180</v>
      </c>
      <c r="D190" s="402">
        <v>8025138</v>
      </c>
      <c r="E190" s="334">
        <v>2000</v>
      </c>
      <c r="F190" s="334">
        <v>2000</v>
      </c>
      <c r="G190" s="334">
        <v>0</v>
      </c>
      <c r="H190" s="334">
        <v>2000</v>
      </c>
      <c r="I190" s="334">
        <f>J190</f>
        <v>1264</v>
      </c>
      <c r="J190" s="503">
        <f>1200+64</f>
        <v>1264</v>
      </c>
      <c r="K190" s="407">
        <f t="shared" si="63"/>
        <v>63.2</v>
      </c>
      <c r="L190" s="733">
        <f>H190</f>
        <v>2000</v>
      </c>
      <c r="M190" s="407">
        <f t="shared" si="85"/>
        <v>100</v>
      </c>
      <c r="N190" s="417"/>
      <c r="O190" s="418">
        <v>4</v>
      </c>
      <c r="P190" s="718" t="s">
        <v>683</v>
      </c>
      <c r="Q190" s="255">
        <v>1</v>
      </c>
      <c r="R190" s="255">
        <v>1</v>
      </c>
      <c r="S190" s="255">
        <v>1</v>
      </c>
      <c r="T190" s="397">
        <f t="shared" si="72"/>
        <v>736</v>
      </c>
      <c r="U190" s="491">
        <f t="shared" si="62"/>
        <v>0</v>
      </c>
      <c r="V190" s="491"/>
      <c r="AC190" s="491"/>
    </row>
    <row r="191" spans="1:29">
      <c r="A191" s="264">
        <v>8</v>
      </c>
      <c r="B191" s="296" t="s">
        <v>240</v>
      </c>
      <c r="C191" s="263"/>
      <c r="D191" s="341"/>
      <c r="E191" s="333">
        <f>E192+E194</f>
        <v>4500</v>
      </c>
      <c r="F191" s="333">
        <f t="shared" ref="F191:L191" si="89">F192+F194</f>
        <v>4500</v>
      </c>
      <c r="G191" s="333">
        <f t="shared" si="89"/>
        <v>950</v>
      </c>
      <c r="H191" s="333">
        <f t="shared" si="89"/>
        <v>3700</v>
      </c>
      <c r="I191" s="333">
        <f t="shared" si="89"/>
        <v>2628.5819999999999</v>
      </c>
      <c r="J191" s="682">
        <f t="shared" si="89"/>
        <v>2493.384</v>
      </c>
      <c r="K191" s="395">
        <f t="shared" si="63"/>
        <v>67.388756756756763</v>
      </c>
      <c r="L191" s="333">
        <f t="shared" si="89"/>
        <v>3700</v>
      </c>
      <c r="M191" s="395">
        <f t="shared" si="85"/>
        <v>100</v>
      </c>
      <c r="N191" s="227"/>
      <c r="O191" s="446"/>
      <c r="P191" s="719"/>
      <c r="Q191" s="255"/>
      <c r="R191" s="255"/>
      <c r="S191" s="255"/>
      <c r="T191" s="181"/>
      <c r="U191" s="491">
        <f t="shared" si="62"/>
        <v>135.19799999999987</v>
      </c>
      <c r="V191" s="491"/>
      <c r="AC191" s="491"/>
    </row>
    <row r="192" spans="1:29" s="344" customFormat="1" ht="16.2">
      <c r="A192" s="298" t="s">
        <v>11</v>
      </c>
      <c r="B192" s="301" t="s">
        <v>337</v>
      </c>
      <c r="C192" s="383"/>
      <c r="D192" s="379"/>
      <c r="E192" s="343">
        <f>E193</f>
        <v>1500</v>
      </c>
      <c r="F192" s="343">
        <f t="shared" ref="F192:L192" si="90">F193</f>
        <v>1500</v>
      </c>
      <c r="G192" s="343">
        <f t="shared" si="90"/>
        <v>950</v>
      </c>
      <c r="H192" s="343">
        <f t="shared" si="90"/>
        <v>550</v>
      </c>
      <c r="I192" s="343">
        <f t="shared" si="90"/>
        <v>400</v>
      </c>
      <c r="J192" s="504">
        <f t="shared" si="90"/>
        <v>264.80200000000002</v>
      </c>
      <c r="K192" s="395">
        <f t="shared" si="63"/>
        <v>48.145818181818186</v>
      </c>
      <c r="L192" s="343">
        <f t="shared" si="90"/>
        <v>550</v>
      </c>
      <c r="M192" s="395">
        <f t="shared" si="85"/>
        <v>100</v>
      </c>
      <c r="N192" s="383"/>
      <c r="O192" s="383"/>
      <c r="P192" s="717"/>
      <c r="Q192" s="257"/>
      <c r="R192" s="257"/>
      <c r="S192" s="257"/>
      <c r="T192" s="366"/>
      <c r="U192" s="491">
        <f t="shared" si="62"/>
        <v>135.19799999999998</v>
      </c>
      <c r="V192" s="491"/>
      <c r="AC192" s="491"/>
    </row>
    <row r="193" spans="1:29" ht="46.8">
      <c r="A193" s="271" t="s">
        <v>35</v>
      </c>
      <c r="B193" s="297" t="s">
        <v>268</v>
      </c>
      <c r="C193" s="227" t="s">
        <v>182</v>
      </c>
      <c r="D193" s="271">
        <v>8004012</v>
      </c>
      <c r="E193" s="334">
        <v>1500</v>
      </c>
      <c r="F193" s="334">
        <v>1500</v>
      </c>
      <c r="G193" s="334">
        <v>950</v>
      </c>
      <c r="H193" s="334">
        <v>550</v>
      </c>
      <c r="I193" s="334">
        <v>400</v>
      </c>
      <c r="J193" s="503">
        <v>264.80200000000002</v>
      </c>
      <c r="K193" s="407">
        <f t="shared" si="63"/>
        <v>48.145818181818186</v>
      </c>
      <c r="L193" s="334">
        <f>H193</f>
        <v>550</v>
      </c>
      <c r="M193" s="407">
        <f t="shared" si="85"/>
        <v>100</v>
      </c>
      <c r="N193" s="417"/>
      <c r="O193" s="417">
        <v>3</v>
      </c>
      <c r="P193" s="710"/>
      <c r="Q193" s="255">
        <v>1</v>
      </c>
      <c r="R193" s="255"/>
      <c r="S193" s="255"/>
      <c r="T193" s="181"/>
      <c r="U193" s="491">
        <f t="shared" si="62"/>
        <v>135.19799999999998</v>
      </c>
      <c r="V193" s="491"/>
      <c r="AC193" s="491"/>
    </row>
    <row r="194" spans="1:29" ht="16.2">
      <c r="A194" s="298" t="s">
        <v>11</v>
      </c>
      <c r="B194" s="301" t="s">
        <v>360</v>
      </c>
      <c r="C194" s="227"/>
      <c r="D194" s="341"/>
      <c r="E194" s="343">
        <f>SUM(E195:E196)</f>
        <v>3000</v>
      </c>
      <c r="F194" s="343">
        <f t="shared" ref="F194:L194" si="91">SUM(F195:F196)</f>
        <v>3000</v>
      </c>
      <c r="G194" s="343">
        <f t="shared" si="91"/>
        <v>0</v>
      </c>
      <c r="H194" s="343">
        <f t="shared" si="91"/>
        <v>3150</v>
      </c>
      <c r="I194" s="343">
        <f t="shared" si="91"/>
        <v>2228.5819999999999</v>
      </c>
      <c r="J194" s="504">
        <f t="shared" si="91"/>
        <v>2228.5819999999999</v>
      </c>
      <c r="K194" s="395">
        <f t="shared" si="63"/>
        <v>70.748634920634913</v>
      </c>
      <c r="L194" s="343">
        <f t="shared" si="91"/>
        <v>3150</v>
      </c>
      <c r="M194" s="395">
        <f t="shared" si="85"/>
        <v>100</v>
      </c>
      <c r="N194" s="227"/>
      <c r="O194" s="227"/>
      <c r="P194" s="710"/>
      <c r="Q194" s="255"/>
      <c r="R194" s="255"/>
      <c r="S194" s="255"/>
      <c r="T194" s="181"/>
      <c r="U194" s="491">
        <f t="shared" si="62"/>
        <v>0</v>
      </c>
      <c r="V194" s="491"/>
      <c r="AC194" s="491"/>
    </row>
    <row r="195" spans="1:29" ht="31.2">
      <c r="A195" s="271" t="s">
        <v>35</v>
      </c>
      <c r="B195" s="297" t="s">
        <v>386</v>
      </c>
      <c r="C195" s="227" t="s">
        <v>532</v>
      </c>
      <c r="D195" s="271">
        <v>8022234</v>
      </c>
      <c r="E195" s="334">
        <v>1800</v>
      </c>
      <c r="F195" s="334">
        <v>1800</v>
      </c>
      <c r="G195" s="334">
        <v>0</v>
      </c>
      <c r="H195" s="334">
        <v>1850</v>
      </c>
      <c r="I195" s="334">
        <f>J195</f>
        <v>1667</v>
      </c>
      <c r="J195" s="503">
        <v>1667</v>
      </c>
      <c r="K195" s="407">
        <f t="shared" si="63"/>
        <v>90.108108108108112</v>
      </c>
      <c r="L195" s="334">
        <f>H195</f>
        <v>1850</v>
      </c>
      <c r="M195" s="407">
        <f t="shared" si="85"/>
        <v>100</v>
      </c>
      <c r="N195" s="417"/>
      <c r="O195" s="418"/>
      <c r="P195" s="718" t="s">
        <v>683</v>
      </c>
      <c r="Q195" s="255">
        <v>1</v>
      </c>
      <c r="R195" s="255">
        <v>1</v>
      </c>
      <c r="S195" s="255"/>
      <c r="T195" s="181"/>
      <c r="U195" s="491">
        <f t="shared" si="62"/>
        <v>0</v>
      </c>
      <c r="V195" s="491"/>
      <c r="AC195" s="491"/>
    </row>
    <row r="196" spans="1:29" ht="31.2">
      <c r="A196" s="271" t="s">
        <v>35</v>
      </c>
      <c r="B196" s="297" t="s">
        <v>387</v>
      </c>
      <c r="C196" s="227" t="s">
        <v>532</v>
      </c>
      <c r="D196" s="341">
        <v>8034600</v>
      </c>
      <c r="E196" s="334">
        <v>1200</v>
      </c>
      <c r="F196" s="334">
        <v>1200</v>
      </c>
      <c r="G196" s="334">
        <v>0</v>
      </c>
      <c r="H196" s="334">
        <v>1300</v>
      </c>
      <c r="I196" s="334">
        <f>J196</f>
        <v>561.58199999999999</v>
      </c>
      <c r="J196" s="503">
        <v>561.58199999999999</v>
      </c>
      <c r="K196" s="407">
        <f t="shared" si="63"/>
        <v>43.198615384615387</v>
      </c>
      <c r="L196" s="334">
        <f>H196</f>
        <v>1300</v>
      </c>
      <c r="M196" s="407">
        <f t="shared" si="85"/>
        <v>100</v>
      </c>
      <c r="N196" s="417"/>
      <c r="O196" s="418"/>
      <c r="P196" s="718" t="s">
        <v>683</v>
      </c>
      <c r="Q196" s="255">
        <v>1</v>
      </c>
      <c r="R196" s="255">
        <v>1</v>
      </c>
      <c r="S196" s="255"/>
      <c r="T196" s="181"/>
      <c r="U196" s="491">
        <f t="shared" si="62"/>
        <v>0</v>
      </c>
      <c r="V196" s="491"/>
      <c r="AC196" s="491"/>
    </row>
    <row r="197" spans="1:29" s="254" customFormat="1">
      <c r="A197" s="264">
        <v>9</v>
      </c>
      <c r="B197" s="296" t="s">
        <v>238</v>
      </c>
      <c r="C197" s="263"/>
      <c r="D197" s="252"/>
      <c r="E197" s="333">
        <f>E198</f>
        <v>3800</v>
      </c>
      <c r="F197" s="333">
        <f t="shared" ref="F197:L197" si="92">F198</f>
        <v>3500</v>
      </c>
      <c r="G197" s="333">
        <f t="shared" si="92"/>
        <v>0</v>
      </c>
      <c r="H197" s="333">
        <f t="shared" si="92"/>
        <v>2600</v>
      </c>
      <c r="I197" s="333">
        <f t="shared" si="92"/>
        <v>1805.0940000000001</v>
      </c>
      <c r="J197" s="682">
        <f t="shared" si="92"/>
        <v>1805.0940000000001</v>
      </c>
      <c r="K197" s="395">
        <f t="shared" si="63"/>
        <v>69.426692307692306</v>
      </c>
      <c r="L197" s="333">
        <f t="shared" si="92"/>
        <v>2600</v>
      </c>
      <c r="M197" s="395">
        <f t="shared" si="85"/>
        <v>100</v>
      </c>
      <c r="N197" s="263"/>
      <c r="O197" s="263"/>
      <c r="P197" s="709"/>
      <c r="Q197" s="253"/>
      <c r="R197" s="253"/>
      <c r="S197" s="253"/>
      <c r="T197" s="340"/>
      <c r="U197" s="491">
        <f t="shared" si="62"/>
        <v>0</v>
      </c>
      <c r="V197" s="491"/>
      <c r="AC197" s="491"/>
    </row>
    <row r="198" spans="1:29" ht="16.2">
      <c r="A198" s="298" t="s">
        <v>11</v>
      </c>
      <c r="B198" s="301" t="s">
        <v>360</v>
      </c>
      <c r="C198" s="383"/>
      <c r="D198" s="341"/>
      <c r="E198" s="343">
        <f t="shared" ref="E198:J198" si="93">SUM(E199:E200)</f>
        <v>3800</v>
      </c>
      <c r="F198" s="343">
        <f t="shared" si="93"/>
        <v>3500</v>
      </c>
      <c r="G198" s="343">
        <f t="shared" si="93"/>
        <v>0</v>
      </c>
      <c r="H198" s="343">
        <f t="shared" si="93"/>
        <v>2600</v>
      </c>
      <c r="I198" s="343">
        <f t="shared" si="93"/>
        <v>1805.0940000000001</v>
      </c>
      <c r="J198" s="504">
        <f t="shared" si="93"/>
        <v>1805.0940000000001</v>
      </c>
      <c r="K198" s="395">
        <f t="shared" si="63"/>
        <v>69.426692307692306</v>
      </c>
      <c r="L198" s="343">
        <f>SUM(L199:L200)</f>
        <v>2600</v>
      </c>
      <c r="M198" s="395">
        <f t="shared" si="85"/>
        <v>100</v>
      </c>
      <c r="N198" s="227"/>
      <c r="O198" s="227"/>
      <c r="P198" s="710"/>
      <c r="Q198" s="255"/>
      <c r="R198" s="255"/>
      <c r="S198" s="255"/>
      <c r="T198" s="181"/>
      <c r="U198" s="491">
        <f t="shared" si="62"/>
        <v>0</v>
      </c>
      <c r="V198" s="491"/>
      <c r="AC198" s="491"/>
    </row>
    <row r="199" spans="1:29" ht="31.2">
      <c r="A199" s="271" t="s">
        <v>35</v>
      </c>
      <c r="B199" s="297" t="s">
        <v>388</v>
      </c>
      <c r="C199" s="227" t="s">
        <v>532</v>
      </c>
      <c r="D199" s="501" t="s">
        <v>545</v>
      </c>
      <c r="E199" s="334">
        <v>2900</v>
      </c>
      <c r="F199" s="334">
        <v>2900</v>
      </c>
      <c r="G199" s="334">
        <v>0</v>
      </c>
      <c r="H199" s="334">
        <v>2000</v>
      </c>
      <c r="I199" s="334">
        <f>J199</f>
        <v>1457</v>
      </c>
      <c r="J199" s="503">
        <v>1457</v>
      </c>
      <c r="K199" s="407">
        <f t="shared" si="63"/>
        <v>72.850000000000009</v>
      </c>
      <c r="L199" s="334">
        <f>H199</f>
        <v>2000</v>
      </c>
      <c r="M199" s="407">
        <f t="shared" si="85"/>
        <v>100</v>
      </c>
      <c r="N199" s="417"/>
      <c r="O199" s="418"/>
      <c r="P199" s="718" t="s">
        <v>683</v>
      </c>
      <c r="Q199" s="255">
        <v>1</v>
      </c>
      <c r="R199" s="255">
        <v>1</v>
      </c>
      <c r="S199" s="255"/>
      <c r="T199" s="181"/>
      <c r="U199" s="491">
        <f t="shared" si="62"/>
        <v>0</v>
      </c>
      <c r="V199" s="491"/>
      <c r="AC199" s="491"/>
    </row>
    <row r="200" spans="1:29">
      <c r="A200" s="271" t="s">
        <v>35</v>
      </c>
      <c r="B200" s="297" t="s">
        <v>389</v>
      </c>
      <c r="C200" s="227" t="s">
        <v>293</v>
      </c>
      <c r="D200" s="56">
        <v>8023042</v>
      </c>
      <c r="E200" s="334">
        <v>900</v>
      </c>
      <c r="F200" s="334">
        <v>600</v>
      </c>
      <c r="G200" s="334"/>
      <c r="H200" s="334">
        <v>600</v>
      </c>
      <c r="I200" s="334">
        <f>J200</f>
        <v>348.09399999999994</v>
      </c>
      <c r="J200" s="580">
        <f>615.497-267.403</f>
        <v>348.09399999999994</v>
      </c>
      <c r="K200" s="407">
        <f t="shared" si="63"/>
        <v>58.015666666666654</v>
      </c>
      <c r="L200" s="334">
        <f>H200</f>
        <v>600</v>
      </c>
      <c r="M200" s="407">
        <f t="shared" si="85"/>
        <v>100</v>
      </c>
      <c r="N200" s="417"/>
      <c r="O200" s="417">
        <v>4</v>
      </c>
      <c r="P200" s="718" t="s">
        <v>534</v>
      </c>
      <c r="Q200" s="255">
        <v>1</v>
      </c>
      <c r="R200" s="255">
        <v>1</v>
      </c>
      <c r="S200" s="255">
        <v>1</v>
      </c>
      <c r="T200" s="181"/>
      <c r="U200" s="491">
        <f t="shared" si="62"/>
        <v>0</v>
      </c>
      <c r="V200" s="491"/>
      <c r="AC200" s="491"/>
    </row>
    <row r="201" spans="1:29" ht="14.4" customHeight="1">
      <c r="A201" s="264">
        <v>10</v>
      </c>
      <c r="B201" s="296" t="s">
        <v>237</v>
      </c>
      <c r="C201" s="263"/>
      <c r="D201" s="341"/>
      <c r="E201" s="333">
        <f>E202+E204</f>
        <v>5358</v>
      </c>
      <c r="F201" s="333">
        <f t="shared" ref="F201:L201" si="94">F202+F204</f>
        <v>5358</v>
      </c>
      <c r="G201" s="333">
        <f t="shared" si="94"/>
        <v>587</v>
      </c>
      <c r="H201" s="333">
        <f t="shared" si="94"/>
        <v>4071</v>
      </c>
      <c r="I201" s="333">
        <f t="shared" si="94"/>
        <v>3422.2460000000001</v>
      </c>
      <c r="J201" s="682">
        <f t="shared" si="94"/>
        <v>3422.2460000000001</v>
      </c>
      <c r="K201" s="395">
        <f t="shared" ref="K201:K248" si="95">J201/H201*100</f>
        <v>84.064013755833955</v>
      </c>
      <c r="L201" s="333">
        <f t="shared" si="94"/>
        <v>4071</v>
      </c>
      <c r="M201" s="395">
        <f t="shared" si="85"/>
        <v>100</v>
      </c>
      <c r="N201" s="227"/>
      <c r="O201" s="227"/>
      <c r="P201" s="710"/>
      <c r="Q201" s="255"/>
      <c r="R201" s="255"/>
      <c r="S201" s="255"/>
      <c r="T201" s="181"/>
      <c r="U201" s="491">
        <f t="shared" ref="U201:U241" si="96">I201-J201</f>
        <v>0</v>
      </c>
      <c r="V201" s="491"/>
      <c r="AC201" s="491"/>
    </row>
    <row r="202" spans="1:29" s="254" customFormat="1" ht="16.2">
      <c r="A202" s="298" t="s">
        <v>11</v>
      </c>
      <c r="B202" s="301" t="s">
        <v>337</v>
      </c>
      <c r="C202" s="263"/>
      <c r="D202" s="252"/>
      <c r="E202" s="343">
        <f>E203</f>
        <v>870</v>
      </c>
      <c r="F202" s="343">
        <f t="shared" ref="F202:L202" si="97">F203</f>
        <v>870</v>
      </c>
      <c r="G202" s="343">
        <f t="shared" si="97"/>
        <v>314</v>
      </c>
      <c r="H202" s="343">
        <f t="shared" si="97"/>
        <v>556</v>
      </c>
      <c r="I202" s="343">
        <f t="shared" si="97"/>
        <v>494.65699999999998</v>
      </c>
      <c r="J202" s="504">
        <f t="shared" si="97"/>
        <v>494.65699999999998</v>
      </c>
      <c r="K202" s="395">
        <f t="shared" si="95"/>
        <v>88.967086330935246</v>
      </c>
      <c r="L202" s="343">
        <f t="shared" si="97"/>
        <v>556</v>
      </c>
      <c r="M202" s="395">
        <f t="shared" si="85"/>
        <v>100</v>
      </c>
      <c r="N202" s="263"/>
      <c r="O202" s="263"/>
      <c r="P202" s="709"/>
      <c r="Q202" s="253"/>
      <c r="R202" s="253"/>
      <c r="S202" s="253"/>
      <c r="T202" s="340"/>
      <c r="U202" s="491">
        <f t="shared" si="96"/>
        <v>0</v>
      </c>
      <c r="V202" s="491"/>
      <c r="AC202" s="491"/>
    </row>
    <row r="203" spans="1:29" ht="31.2">
      <c r="A203" s="271" t="s">
        <v>35</v>
      </c>
      <c r="B203" s="297" t="s">
        <v>310</v>
      </c>
      <c r="C203" s="227" t="s">
        <v>290</v>
      </c>
      <c r="D203" s="271">
        <v>8007051</v>
      </c>
      <c r="E203" s="334">
        <v>870</v>
      </c>
      <c r="F203" s="334">
        <v>870</v>
      </c>
      <c r="G203" s="334">
        <v>314</v>
      </c>
      <c r="H203" s="334">
        <v>556</v>
      </c>
      <c r="I203" s="334">
        <f>J203</f>
        <v>494.65699999999998</v>
      </c>
      <c r="J203" s="503">
        <v>494.65699999999998</v>
      </c>
      <c r="K203" s="407">
        <f t="shared" si="95"/>
        <v>88.967086330935246</v>
      </c>
      <c r="L203" s="334">
        <f>H203</f>
        <v>556</v>
      </c>
      <c r="M203" s="407">
        <f t="shared" si="85"/>
        <v>100</v>
      </c>
      <c r="N203" s="417"/>
      <c r="O203" s="227">
        <v>3</v>
      </c>
      <c r="P203" s="715"/>
      <c r="Q203" s="255">
        <v>1</v>
      </c>
      <c r="R203" s="255"/>
      <c r="S203" s="255"/>
      <c r="T203" s="181"/>
      <c r="U203" s="491">
        <f t="shared" si="96"/>
        <v>0</v>
      </c>
      <c r="V203" s="491"/>
      <c r="AC203" s="491"/>
    </row>
    <row r="204" spans="1:29" ht="16.2">
      <c r="A204" s="298" t="s">
        <v>11</v>
      </c>
      <c r="B204" s="301" t="s">
        <v>360</v>
      </c>
      <c r="C204" s="227"/>
      <c r="D204" s="341"/>
      <c r="E204" s="343">
        <f>SUM(E205:E206)</f>
        <v>4488</v>
      </c>
      <c r="F204" s="343">
        <f t="shared" ref="F204:L204" si="98">SUM(F205:F206)</f>
        <v>4488</v>
      </c>
      <c r="G204" s="343">
        <f t="shared" si="98"/>
        <v>273</v>
      </c>
      <c r="H204" s="343">
        <f t="shared" si="98"/>
        <v>3515</v>
      </c>
      <c r="I204" s="343">
        <f t="shared" si="98"/>
        <v>2927.5889999999999</v>
      </c>
      <c r="J204" s="504">
        <f t="shared" si="98"/>
        <v>2927.5889999999999</v>
      </c>
      <c r="K204" s="395">
        <f t="shared" si="95"/>
        <v>83.288449502133716</v>
      </c>
      <c r="L204" s="343">
        <f t="shared" si="98"/>
        <v>3515</v>
      </c>
      <c r="M204" s="395">
        <f t="shared" si="85"/>
        <v>100</v>
      </c>
      <c r="N204" s="227"/>
      <c r="O204" s="227"/>
      <c r="P204" s="710"/>
      <c r="Q204" s="255"/>
      <c r="R204" s="255"/>
      <c r="S204" s="255"/>
      <c r="T204" s="181"/>
      <c r="U204" s="491">
        <f t="shared" si="96"/>
        <v>0</v>
      </c>
      <c r="V204" s="491"/>
      <c r="AC204" s="491"/>
    </row>
    <row r="205" spans="1:29" ht="31.2">
      <c r="A205" s="271" t="s">
        <v>35</v>
      </c>
      <c r="B205" s="297" t="s">
        <v>390</v>
      </c>
      <c r="C205" s="227" t="s">
        <v>532</v>
      </c>
      <c r="D205" s="271">
        <v>8022254</v>
      </c>
      <c r="E205" s="334">
        <v>3200</v>
      </c>
      <c r="F205" s="334">
        <v>3200</v>
      </c>
      <c r="G205" s="334">
        <v>0</v>
      </c>
      <c r="H205" s="334">
        <v>2500</v>
      </c>
      <c r="I205" s="334">
        <f>J205</f>
        <v>2427.5889999999999</v>
      </c>
      <c r="J205" s="503">
        <f>1400+646.681+366.708+14.2</f>
        <v>2427.5889999999999</v>
      </c>
      <c r="K205" s="407">
        <f t="shared" si="95"/>
        <v>97.103560000000002</v>
      </c>
      <c r="L205" s="334">
        <f>H205</f>
        <v>2500</v>
      </c>
      <c r="M205" s="407">
        <f t="shared" si="85"/>
        <v>100</v>
      </c>
      <c r="N205" s="417"/>
      <c r="O205" s="227"/>
      <c r="P205" s="718" t="s">
        <v>683</v>
      </c>
      <c r="Q205" s="255">
        <v>1</v>
      </c>
      <c r="R205" s="255">
        <v>1</v>
      </c>
      <c r="S205" s="255"/>
      <c r="T205" s="181"/>
      <c r="U205" s="491">
        <f t="shared" si="96"/>
        <v>0</v>
      </c>
      <c r="V205" s="491"/>
      <c r="AC205" s="491"/>
    </row>
    <row r="206" spans="1:29">
      <c r="A206" s="271" t="s">
        <v>35</v>
      </c>
      <c r="B206" s="297" t="s">
        <v>391</v>
      </c>
      <c r="C206" s="227" t="s">
        <v>290</v>
      </c>
      <c r="D206" s="271">
        <v>8020175</v>
      </c>
      <c r="E206" s="334">
        <v>1288</v>
      </c>
      <c r="F206" s="334">
        <v>1288</v>
      </c>
      <c r="G206" s="334">
        <v>273</v>
      </c>
      <c r="H206" s="334">
        <v>1015</v>
      </c>
      <c r="I206" s="334">
        <v>500</v>
      </c>
      <c r="J206" s="503">
        <v>500</v>
      </c>
      <c r="K206" s="407">
        <f t="shared" si="95"/>
        <v>49.261083743842363</v>
      </c>
      <c r="L206" s="334">
        <f>H206</f>
        <v>1015</v>
      </c>
      <c r="M206" s="407">
        <f t="shared" si="85"/>
        <v>100</v>
      </c>
      <c r="N206" s="227"/>
      <c r="O206" s="227">
        <v>4</v>
      </c>
      <c r="P206" s="718" t="s">
        <v>683</v>
      </c>
      <c r="Q206" s="255"/>
      <c r="R206" s="255">
        <v>1</v>
      </c>
      <c r="S206" s="255">
        <v>1</v>
      </c>
      <c r="T206" s="181"/>
      <c r="U206" s="491">
        <f t="shared" si="96"/>
        <v>0</v>
      </c>
      <c r="V206" s="491"/>
      <c r="AC206" s="491"/>
    </row>
    <row r="207" spans="1:29" s="254" customFormat="1">
      <c r="A207" s="264">
        <v>11</v>
      </c>
      <c r="B207" s="296" t="s">
        <v>236</v>
      </c>
      <c r="C207" s="263"/>
      <c r="D207" s="252"/>
      <c r="E207" s="333">
        <f>E208</f>
        <v>7800</v>
      </c>
      <c r="F207" s="333">
        <f t="shared" ref="F207:L207" si="99">F208</f>
        <v>5100</v>
      </c>
      <c r="G207" s="333">
        <f t="shared" si="99"/>
        <v>0</v>
      </c>
      <c r="H207" s="333">
        <f t="shared" si="99"/>
        <v>4100</v>
      </c>
      <c r="I207" s="333">
        <f t="shared" si="99"/>
        <v>3222.6209279999998</v>
      </c>
      <c r="J207" s="682">
        <f t="shared" si="99"/>
        <v>3222.6209279999998</v>
      </c>
      <c r="K207" s="395">
        <f t="shared" si="95"/>
        <v>78.60051043902439</v>
      </c>
      <c r="L207" s="333">
        <f t="shared" si="99"/>
        <v>4100</v>
      </c>
      <c r="M207" s="395">
        <f t="shared" si="85"/>
        <v>100</v>
      </c>
      <c r="N207" s="263"/>
      <c r="O207" s="227"/>
      <c r="P207" s="709"/>
      <c r="Q207" s="253"/>
      <c r="R207" s="253"/>
      <c r="S207" s="253"/>
      <c r="T207" s="340"/>
      <c r="U207" s="491">
        <f t="shared" si="96"/>
        <v>0</v>
      </c>
      <c r="V207" s="491"/>
      <c r="AC207" s="491"/>
    </row>
    <row r="208" spans="1:29" s="344" customFormat="1" ht="16.2">
      <c r="A208" s="298" t="s">
        <v>11</v>
      </c>
      <c r="B208" s="301" t="s">
        <v>360</v>
      </c>
      <c r="C208" s="383"/>
      <c r="D208" s="379"/>
      <c r="E208" s="343">
        <f>SUM(E209:E211)</f>
        <v>7800</v>
      </c>
      <c r="F208" s="343">
        <f t="shared" ref="F208:L208" si="100">SUM(F209:F211)</f>
        <v>5100</v>
      </c>
      <c r="G208" s="343">
        <f t="shared" si="100"/>
        <v>0</v>
      </c>
      <c r="H208" s="343">
        <f t="shared" si="100"/>
        <v>4100</v>
      </c>
      <c r="I208" s="343">
        <f t="shared" si="100"/>
        <v>3222.6209279999998</v>
      </c>
      <c r="J208" s="504">
        <f t="shared" si="100"/>
        <v>3222.6209279999998</v>
      </c>
      <c r="K208" s="395">
        <f t="shared" si="95"/>
        <v>78.60051043902439</v>
      </c>
      <c r="L208" s="343">
        <f t="shared" si="100"/>
        <v>4100</v>
      </c>
      <c r="M208" s="395">
        <f t="shared" si="85"/>
        <v>100</v>
      </c>
      <c r="N208" s="383"/>
      <c r="O208" s="227"/>
      <c r="P208" s="717"/>
      <c r="Q208" s="257"/>
      <c r="R208" s="257"/>
      <c r="S208" s="257"/>
      <c r="T208" s="366"/>
      <c r="U208" s="491">
        <f t="shared" si="96"/>
        <v>0</v>
      </c>
      <c r="V208" s="491"/>
      <c r="AC208" s="491"/>
    </row>
    <row r="209" spans="1:29" ht="31.2">
      <c r="A209" s="271" t="s">
        <v>35</v>
      </c>
      <c r="B209" s="297" t="s">
        <v>392</v>
      </c>
      <c r="C209" s="227" t="s">
        <v>532</v>
      </c>
      <c r="D209" s="271">
        <v>8022251</v>
      </c>
      <c r="E209" s="334">
        <v>2900</v>
      </c>
      <c r="F209" s="334">
        <v>2900</v>
      </c>
      <c r="G209" s="334">
        <v>0</v>
      </c>
      <c r="H209" s="334">
        <v>1900</v>
      </c>
      <c r="I209" s="334">
        <f>J209</f>
        <v>1692</v>
      </c>
      <c r="J209" s="503">
        <v>1692</v>
      </c>
      <c r="K209" s="407">
        <f t="shared" si="95"/>
        <v>89.05263157894737</v>
      </c>
      <c r="L209" s="334">
        <f>H209</f>
        <v>1900</v>
      </c>
      <c r="M209" s="407">
        <f t="shared" si="85"/>
        <v>100</v>
      </c>
      <c r="N209" s="227"/>
      <c r="O209" s="227"/>
      <c r="P209" s="718" t="s">
        <v>683</v>
      </c>
      <c r="Q209" s="255">
        <v>1</v>
      </c>
      <c r="R209" s="255">
        <v>1</v>
      </c>
      <c r="S209" s="255"/>
      <c r="T209" s="181"/>
      <c r="U209" s="491">
        <f t="shared" si="96"/>
        <v>0</v>
      </c>
      <c r="V209" s="491"/>
      <c r="AC209" s="491"/>
    </row>
    <row r="210" spans="1:29" ht="31.2">
      <c r="A210" s="271" t="s">
        <v>35</v>
      </c>
      <c r="B210" s="427" t="s">
        <v>393</v>
      </c>
      <c r="C210" s="414" t="s">
        <v>532</v>
      </c>
      <c r="D210" s="501" t="s">
        <v>543</v>
      </c>
      <c r="E210" s="334">
        <v>4500</v>
      </c>
      <c r="F210" s="334">
        <v>1800</v>
      </c>
      <c r="G210" s="334"/>
      <c r="H210" s="334">
        <v>1800</v>
      </c>
      <c r="I210" s="334">
        <f>J210</f>
        <v>1154.558</v>
      </c>
      <c r="J210" s="503">
        <v>1154.558</v>
      </c>
      <c r="K210" s="407">
        <f t="shared" si="95"/>
        <v>64.142111111111106</v>
      </c>
      <c r="L210" s="334">
        <f>H210</f>
        <v>1800</v>
      </c>
      <c r="M210" s="407">
        <f t="shared" si="85"/>
        <v>100</v>
      </c>
      <c r="N210" s="408"/>
      <c r="O210" s="227">
        <v>4</v>
      </c>
      <c r="P210" s="710"/>
      <c r="Q210" s="255">
        <v>1</v>
      </c>
      <c r="R210" s="255">
        <v>1</v>
      </c>
      <c r="S210" s="255"/>
      <c r="T210" s="181"/>
      <c r="U210" s="491">
        <f t="shared" si="96"/>
        <v>0</v>
      </c>
      <c r="V210" s="491"/>
      <c r="AC210" s="491"/>
    </row>
    <row r="211" spans="1:29" ht="31.2">
      <c r="A211" s="271" t="s">
        <v>35</v>
      </c>
      <c r="B211" s="286" t="s">
        <v>394</v>
      </c>
      <c r="C211" s="428" t="s">
        <v>181</v>
      </c>
      <c r="D211" s="502">
        <v>8018936</v>
      </c>
      <c r="E211" s="334">
        <v>400</v>
      </c>
      <c r="F211" s="334">
        <v>400</v>
      </c>
      <c r="G211" s="334"/>
      <c r="H211" s="334">
        <v>400</v>
      </c>
      <c r="I211" s="334">
        <f>J211</f>
        <v>376.062928</v>
      </c>
      <c r="J211" s="503">
        <v>376.062928</v>
      </c>
      <c r="K211" s="407">
        <f t="shared" si="95"/>
        <v>94.015732</v>
      </c>
      <c r="L211" s="334">
        <f>H211</f>
        <v>400</v>
      </c>
      <c r="M211" s="407">
        <f t="shared" si="85"/>
        <v>100</v>
      </c>
      <c r="N211" s="418"/>
      <c r="O211" s="418">
        <v>4</v>
      </c>
      <c r="P211" s="715"/>
      <c r="Q211" s="255">
        <v>1</v>
      </c>
      <c r="R211" s="255">
        <v>1</v>
      </c>
      <c r="S211" s="255">
        <v>1</v>
      </c>
      <c r="T211" s="181"/>
      <c r="U211" s="491">
        <f t="shared" si="96"/>
        <v>0</v>
      </c>
      <c r="V211" s="491"/>
      <c r="AC211" s="491"/>
    </row>
    <row r="212" spans="1:29">
      <c r="A212" s="264">
        <v>12</v>
      </c>
      <c r="B212" s="296" t="s">
        <v>245</v>
      </c>
      <c r="C212" s="263"/>
      <c r="D212" s="341"/>
      <c r="E212" s="333">
        <f>E213+E217</f>
        <v>6104</v>
      </c>
      <c r="F212" s="333">
        <f t="shared" ref="F212:L212" si="101">F213+F217</f>
        <v>6104</v>
      </c>
      <c r="G212" s="333">
        <f t="shared" si="101"/>
        <v>2000</v>
      </c>
      <c r="H212" s="333">
        <f t="shared" si="101"/>
        <v>4014.7049999999999</v>
      </c>
      <c r="I212" s="333">
        <f t="shared" si="101"/>
        <v>3450.3469999999998</v>
      </c>
      <c r="J212" s="682">
        <f t="shared" si="101"/>
        <v>3250.3469999999998</v>
      </c>
      <c r="K212" s="395">
        <f t="shared" si="95"/>
        <v>80.961041969459771</v>
      </c>
      <c r="L212" s="333">
        <f t="shared" si="101"/>
        <v>4014.7049999999999</v>
      </c>
      <c r="M212" s="395">
        <f t="shared" si="85"/>
        <v>100</v>
      </c>
      <c r="N212" s="227"/>
      <c r="O212" s="227"/>
      <c r="P212" s="710"/>
      <c r="Q212" s="255"/>
      <c r="R212" s="255"/>
      <c r="S212" s="255"/>
      <c r="T212" s="181"/>
      <c r="U212" s="491">
        <f t="shared" si="96"/>
        <v>200</v>
      </c>
      <c r="V212" s="491"/>
      <c r="AC212" s="491"/>
    </row>
    <row r="213" spans="1:29" ht="16.2">
      <c r="A213" s="298" t="s">
        <v>11</v>
      </c>
      <c r="B213" s="301" t="s">
        <v>337</v>
      </c>
      <c r="C213" s="263"/>
      <c r="D213" s="341"/>
      <c r="E213" s="343">
        <f>SUM(E214:E216)</f>
        <v>3390</v>
      </c>
      <c r="F213" s="343">
        <f t="shared" ref="F213:L213" si="102">SUM(F214:F216)</f>
        <v>3390</v>
      </c>
      <c r="G213" s="343">
        <f t="shared" si="102"/>
        <v>2000</v>
      </c>
      <c r="H213" s="343">
        <f t="shared" si="102"/>
        <v>1300.7049999999999</v>
      </c>
      <c r="I213" s="343">
        <f t="shared" si="102"/>
        <v>1036.347</v>
      </c>
      <c r="J213" s="504">
        <f t="shared" si="102"/>
        <v>836.34699999999998</v>
      </c>
      <c r="K213" s="395">
        <f t="shared" si="95"/>
        <v>64.299514494062834</v>
      </c>
      <c r="L213" s="343">
        <f t="shared" si="102"/>
        <v>1300.7049999999999</v>
      </c>
      <c r="M213" s="395">
        <f t="shared" si="85"/>
        <v>100</v>
      </c>
      <c r="N213" s="227"/>
      <c r="O213" s="227"/>
      <c r="P213" s="710"/>
      <c r="Q213" s="255"/>
      <c r="R213" s="255"/>
      <c r="S213" s="255"/>
      <c r="T213" s="181"/>
      <c r="U213" s="491">
        <f t="shared" si="96"/>
        <v>200</v>
      </c>
      <c r="V213" s="491"/>
      <c r="AC213" s="491"/>
    </row>
    <row r="214" spans="1:29" ht="31.2">
      <c r="A214" s="271" t="s">
        <v>35</v>
      </c>
      <c r="B214" s="297" t="s">
        <v>270</v>
      </c>
      <c r="C214" s="227" t="s">
        <v>288</v>
      </c>
      <c r="D214" s="271">
        <v>7998198</v>
      </c>
      <c r="E214" s="334">
        <v>1600</v>
      </c>
      <c r="F214" s="334">
        <v>1600</v>
      </c>
      <c r="G214" s="334">
        <v>600</v>
      </c>
      <c r="H214" s="334">
        <v>1000</v>
      </c>
      <c r="I214" s="334">
        <v>830.80399999999997</v>
      </c>
      <c r="J214" s="503">
        <f>I214</f>
        <v>830.80399999999997</v>
      </c>
      <c r="K214" s="407">
        <f t="shared" si="95"/>
        <v>83.080399999999997</v>
      </c>
      <c r="L214" s="334">
        <f>H214</f>
        <v>1000</v>
      </c>
      <c r="M214" s="407">
        <f t="shared" si="85"/>
        <v>100</v>
      </c>
      <c r="N214" s="418"/>
      <c r="O214" s="418">
        <v>3</v>
      </c>
      <c r="P214" s="710"/>
      <c r="Q214" s="255">
        <v>1</v>
      </c>
      <c r="R214" s="255"/>
      <c r="S214" s="255"/>
      <c r="T214" s="181"/>
      <c r="U214" s="491">
        <f t="shared" si="96"/>
        <v>0</v>
      </c>
      <c r="V214" s="491"/>
      <c r="AC214" s="491"/>
    </row>
    <row r="215" spans="1:29" ht="31.2">
      <c r="A215" s="271" t="s">
        <v>35</v>
      </c>
      <c r="B215" s="297" t="s">
        <v>271</v>
      </c>
      <c r="C215" s="227" t="s">
        <v>288</v>
      </c>
      <c r="D215" s="271">
        <v>7998194</v>
      </c>
      <c r="E215" s="334">
        <v>790</v>
      </c>
      <c r="F215" s="334">
        <v>790</v>
      </c>
      <c r="G215" s="334">
        <v>500</v>
      </c>
      <c r="H215" s="334">
        <v>290</v>
      </c>
      <c r="I215" s="334">
        <v>200</v>
      </c>
      <c r="J215" s="503"/>
      <c r="K215" s="407">
        <f t="shared" si="95"/>
        <v>0</v>
      </c>
      <c r="L215" s="334">
        <f>H215</f>
        <v>290</v>
      </c>
      <c r="M215" s="407">
        <f t="shared" si="85"/>
        <v>100</v>
      </c>
      <c r="N215" s="418"/>
      <c r="O215" s="271">
        <v>3</v>
      </c>
      <c r="P215" s="710"/>
      <c r="Q215" s="255">
        <v>1</v>
      </c>
      <c r="R215" s="255"/>
      <c r="S215" s="255"/>
      <c r="T215" s="181"/>
      <c r="U215" s="491">
        <f t="shared" si="96"/>
        <v>200</v>
      </c>
      <c r="V215" s="491"/>
      <c r="AC215" s="491"/>
    </row>
    <row r="216" spans="1:29" ht="31.2">
      <c r="A216" s="271" t="s">
        <v>35</v>
      </c>
      <c r="B216" s="297" t="s">
        <v>269</v>
      </c>
      <c r="C216" s="227" t="s">
        <v>532</v>
      </c>
      <c r="D216" s="271">
        <v>8006003</v>
      </c>
      <c r="E216" s="334">
        <v>1000</v>
      </c>
      <c r="F216" s="334">
        <v>1000</v>
      </c>
      <c r="G216" s="334">
        <v>900</v>
      </c>
      <c r="H216" s="334">
        <v>10.705</v>
      </c>
      <c r="I216" s="334">
        <f>J216</f>
        <v>5.5430000000000001</v>
      </c>
      <c r="J216" s="503">
        <v>5.5430000000000001</v>
      </c>
      <c r="K216" s="407">
        <f t="shared" si="95"/>
        <v>51.779542269967308</v>
      </c>
      <c r="L216" s="334">
        <f>H216</f>
        <v>10.705</v>
      </c>
      <c r="M216" s="407">
        <f t="shared" si="85"/>
        <v>100</v>
      </c>
      <c r="N216" s="418"/>
      <c r="O216" s="418"/>
      <c r="P216" s="718" t="s">
        <v>580</v>
      </c>
      <c r="Q216" s="255">
        <v>1</v>
      </c>
      <c r="R216" s="255"/>
      <c r="S216" s="255"/>
      <c r="T216" s="181"/>
      <c r="U216" s="491">
        <f t="shared" si="96"/>
        <v>0</v>
      </c>
      <c r="V216" s="491"/>
      <c r="AC216" s="491"/>
    </row>
    <row r="217" spans="1:29" ht="16.2">
      <c r="A217" s="298" t="s">
        <v>11</v>
      </c>
      <c r="B217" s="301" t="s">
        <v>360</v>
      </c>
      <c r="C217" s="227"/>
      <c r="D217" s="341"/>
      <c r="E217" s="343">
        <f>SUM(E218:E219)</f>
        <v>2714</v>
      </c>
      <c r="F217" s="343">
        <f t="shared" ref="F217:L217" si="103">SUM(F218:F219)</f>
        <v>2714</v>
      </c>
      <c r="G217" s="343">
        <f t="shared" si="103"/>
        <v>0</v>
      </c>
      <c r="H217" s="343">
        <f t="shared" si="103"/>
        <v>2714</v>
      </c>
      <c r="I217" s="343">
        <f t="shared" si="103"/>
        <v>2414</v>
      </c>
      <c r="J217" s="504">
        <f t="shared" si="103"/>
        <v>2414</v>
      </c>
      <c r="K217" s="395">
        <f t="shared" si="95"/>
        <v>88.946204863669863</v>
      </c>
      <c r="L217" s="343">
        <f t="shared" si="103"/>
        <v>2714</v>
      </c>
      <c r="M217" s="395">
        <f t="shared" si="85"/>
        <v>100</v>
      </c>
      <c r="N217" s="227"/>
      <c r="O217" s="227"/>
      <c r="P217" s="710"/>
      <c r="Q217" s="255"/>
      <c r="R217" s="255"/>
      <c r="S217" s="255"/>
      <c r="T217" s="181"/>
      <c r="U217" s="491">
        <f t="shared" si="96"/>
        <v>0</v>
      </c>
      <c r="V217" s="491"/>
      <c r="AC217" s="491"/>
    </row>
    <row r="218" spans="1:29" ht="31.2">
      <c r="A218" s="271" t="s">
        <v>35</v>
      </c>
      <c r="B218" s="297" t="s">
        <v>395</v>
      </c>
      <c r="C218" s="227" t="s">
        <v>288</v>
      </c>
      <c r="D218" s="56">
        <v>8025139</v>
      </c>
      <c r="E218" s="334">
        <v>2014</v>
      </c>
      <c r="F218" s="334">
        <v>2014</v>
      </c>
      <c r="G218" s="334"/>
      <c r="H218" s="334">
        <v>2014</v>
      </c>
      <c r="I218" s="334">
        <f>J218</f>
        <v>2014</v>
      </c>
      <c r="J218" s="503">
        <f>H218</f>
        <v>2014</v>
      </c>
      <c r="K218" s="407">
        <f t="shared" si="95"/>
        <v>100</v>
      </c>
      <c r="L218" s="334">
        <f>H218</f>
        <v>2014</v>
      </c>
      <c r="M218" s="407">
        <f t="shared" si="85"/>
        <v>100</v>
      </c>
      <c r="N218" s="418"/>
      <c r="O218" s="271">
        <v>4</v>
      </c>
      <c r="P218" s="718" t="s">
        <v>683</v>
      </c>
      <c r="Q218" s="255">
        <v>1</v>
      </c>
      <c r="R218" s="255">
        <v>1</v>
      </c>
      <c r="S218" s="255">
        <v>1</v>
      </c>
      <c r="T218" s="181"/>
      <c r="U218" s="491">
        <f t="shared" si="96"/>
        <v>0</v>
      </c>
      <c r="V218" s="491"/>
      <c r="AC218" s="491"/>
    </row>
    <row r="219" spans="1:29" ht="31.2">
      <c r="A219" s="271" t="s">
        <v>35</v>
      </c>
      <c r="B219" s="297" t="s">
        <v>396</v>
      </c>
      <c r="C219" s="227" t="s">
        <v>288</v>
      </c>
      <c r="D219" s="56">
        <v>8025140</v>
      </c>
      <c r="E219" s="334">
        <v>700</v>
      </c>
      <c r="F219" s="334">
        <v>700</v>
      </c>
      <c r="G219" s="334"/>
      <c r="H219" s="334">
        <v>700</v>
      </c>
      <c r="I219" s="334">
        <f>J219</f>
        <v>400</v>
      </c>
      <c r="J219" s="503">
        <v>400</v>
      </c>
      <c r="K219" s="407">
        <f t="shared" si="95"/>
        <v>57.142857142857139</v>
      </c>
      <c r="L219" s="334">
        <f>H219</f>
        <v>700</v>
      </c>
      <c r="M219" s="407">
        <f t="shared" si="85"/>
        <v>100</v>
      </c>
      <c r="N219" s="418"/>
      <c r="O219" s="418">
        <v>4</v>
      </c>
      <c r="P219" s="718" t="s">
        <v>683</v>
      </c>
      <c r="Q219" s="255">
        <v>1</v>
      </c>
      <c r="R219" s="255">
        <v>1</v>
      </c>
      <c r="S219" s="255">
        <v>1</v>
      </c>
      <c r="T219" s="181"/>
      <c r="U219" s="491">
        <f t="shared" si="96"/>
        <v>0</v>
      </c>
      <c r="V219" s="491"/>
      <c r="AC219" s="491"/>
    </row>
    <row r="220" spans="1:29" ht="31.2">
      <c r="A220" s="264" t="s">
        <v>52</v>
      </c>
      <c r="B220" s="194" t="s">
        <v>272</v>
      </c>
      <c r="C220" s="263"/>
      <c r="D220" s="341"/>
      <c r="E220" s="333">
        <f>E221</f>
        <v>12039.4</v>
      </c>
      <c r="F220" s="333">
        <f t="shared" ref="F220:L220" si="104">F221</f>
        <v>9954.0999999999985</v>
      </c>
      <c r="G220" s="333">
        <f t="shared" si="104"/>
        <v>1788.96</v>
      </c>
      <c r="H220" s="333">
        <f t="shared" si="104"/>
        <v>4425</v>
      </c>
      <c r="I220" s="333">
        <f t="shared" si="104"/>
        <v>3535.7219999999998</v>
      </c>
      <c r="J220" s="682">
        <f t="shared" si="104"/>
        <v>3535.7219999999998</v>
      </c>
      <c r="K220" s="395">
        <f t="shared" si="95"/>
        <v>79.903322033898291</v>
      </c>
      <c r="L220" s="333">
        <f t="shared" si="104"/>
        <v>4425</v>
      </c>
      <c r="M220" s="395">
        <f t="shared" si="85"/>
        <v>100</v>
      </c>
      <c r="N220" s="227"/>
      <c r="O220" s="227"/>
      <c r="P220" s="710"/>
      <c r="Q220" s="255"/>
      <c r="R220" s="255"/>
      <c r="S220" s="255"/>
      <c r="T220" s="181"/>
      <c r="U220" s="491">
        <f t="shared" si="96"/>
        <v>0</v>
      </c>
      <c r="V220" s="491"/>
      <c r="AC220" s="491"/>
    </row>
    <row r="221" spans="1:29" ht="97.2">
      <c r="A221" s="298">
        <v>1</v>
      </c>
      <c r="B221" s="299" t="s">
        <v>273</v>
      </c>
      <c r="C221" s="383"/>
      <c r="D221" s="341"/>
      <c r="E221" s="343">
        <f>E222+E225</f>
        <v>12039.4</v>
      </c>
      <c r="F221" s="343">
        <f t="shared" ref="F221:L221" si="105">F222+F225</f>
        <v>9954.0999999999985</v>
      </c>
      <c r="G221" s="343">
        <f t="shared" si="105"/>
        <v>1788.96</v>
      </c>
      <c r="H221" s="343">
        <f t="shared" si="105"/>
        <v>4425</v>
      </c>
      <c r="I221" s="343">
        <f t="shared" si="105"/>
        <v>3535.7219999999998</v>
      </c>
      <c r="J221" s="504">
        <f t="shared" si="105"/>
        <v>3535.7219999999998</v>
      </c>
      <c r="K221" s="395">
        <f t="shared" si="95"/>
        <v>79.903322033898291</v>
      </c>
      <c r="L221" s="343">
        <f t="shared" si="105"/>
        <v>4425</v>
      </c>
      <c r="M221" s="407">
        <f t="shared" si="85"/>
        <v>100</v>
      </c>
      <c r="N221" s="227"/>
      <c r="O221" s="227"/>
      <c r="P221" s="710"/>
      <c r="Q221" s="255"/>
      <c r="R221" s="255"/>
      <c r="S221" s="255"/>
      <c r="T221" s="181"/>
      <c r="U221" s="491">
        <f t="shared" si="96"/>
        <v>0</v>
      </c>
      <c r="V221" s="491"/>
      <c r="AC221" s="491"/>
    </row>
    <row r="222" spans="1:29" ht="16.2">
      <c r="A222" s="298" t="s">
        <v>11</v>
      </c>
      <c r="B222" s="301" t="s">
        <v>337</v>
      </c>
      <c r="C222" s="383"/>
      <c r="D222" s="341"/>
      <c r="E222" s="343">
        <f>SUM(E223:E224)</f>
        <v>1446</v>
      </c>
      <c r="F222" s="343">
        <f t="shared" ref="F222:L222" si="106">SUM(F223:F224)</f>
        <v>1446</v>
      </c>
      <c r="G222" s="343">
        <f t="shared" si="106"/>
        <v>1207.0999999999999</v>
      </c>
      <c r="H222" s="343">
        <f t="shared" si="106"/>
        <v>238.90000000000003</v>
      </c>
      <c r="I222" s="343">
        <f t="shared" si="106"/>
        <v>122.21</v>
      </c>
      <c r="J222" s="504">
        <f t="shared" si="106"/>
        <v>122.21</v>
      </c>
      <c r="K222" s="395">
        <f t="shared" si="95"/>
        <v>51.155295102553353</v>
      </c>
      <c r="L222" s="343">
        <f t="shared" si="106"/>
        <v>238.90000000000003</v>
      </c>
      <c r="M222" s="395">
        <f t="shared" si="85"/>
        <v>100</v>
      </c>
      <c r="N222" s="227"/>
      <c r="O222" s="227"/>
      <c r="P222" s="710"/>
      <c r="Q222" s="255"/>
      <c r="R222" s="255"/>
      <c r="S222" s="255"/>
      <c r="T222" s="181"/>
      <c r="U222" s="491">
        <f t="shared" si="96"/>
        <v>0</v>
      </c>
      <c r="V222" s="491"/>
      <c r="AC222" s="491"/>
    </row>
    <row r="223" spans="1:29" ht="62.4">
      <c r="A223" s="271" t="s">
        <v>35</v>
      </c>
      <c r="B223" s="297" t="s">
        <v>397</v>
      </c>
      <c r="C223" s="227" t="s">
        <v>532</v>
      </c>
      <c r="D223" s="271">
        <v>8006661</v>
      </c>
      <c r="E223" s="334">
        <v>1156.8</v>
      </c>
      <c r="F223" s="334">
        <v>1156.8</v>
      </c>
      <c r="G223" s="334">
        <v>1044.5999999999999</v>
      </c>
      <c r="H223" s="334">
        <v>112.20000000000005</v>
      </c>
      <c r="I223" s="334"/>
      <c r="J223" s="503"/>
      <c r="K223" s="407">
        <f t="shared" si="95"/>
        <v>0</v>
      </c>
      <c r="L223" s="334">
        <f>H223</f>
        <v>112.20000000000005</v>
      </c>
      <c r="M223" s="407">
        <f t="shared" si="85"/>
        <v>100</v>
      </c>
      <c r="N223" s="418"/>
      <c r="O223" s="418"/>
      <c r="P223" s="710"/>
      <c r="Q223" s="255">
        <v>1</v>
      </c>
      <c r="R223" s="255"/>
      <c r="S223" s="255"/>
      <c r="T223" s="181"/>
      <c r="U223" s="491">
        <f t="shared" si="96"/>
        <v>0</v>
      </c>
      <c r="V223" s="491"/>
      <c r="AC223" s="491"/>
    </row>
    <row r="224" spans="1:29" ht="31.2">
      <c r="A224" s="271" t="s">
        <v>35</v>
      </c>
      <c r="B224" s="297" t="s">
        <v>274</v>
      </c>
      <c r="C224" s="227" t="s">
        <v>532</v>
      </c>
      <c r="D224" s="271">
        <v>8006004</v>
      </c>
      <c r="E224" s="334">
        <v>289.2</v>
      </c>
      <c r="F224" s="334">
        <v>289.2</v>
      </c>
      <c r="G224" s="334">
        <v>162.5</v>
      </c>
      <c r="H224" s="334">
        <v>126.69999999999999</v>
      </c>
      <c r="I224" s="334">
        <f>J224</f>
        <v>122.21</v>
      </c>
      <c r="J224" s="503">
        <v>122.21</v>
      </c>
      <c r="K224" s="407">
        <f t="shared" si="95"/>
        <v>96.456195737963697</v>
      </c>
      <c r="L224" s="334">
        <f>H224</f>
        <v>126.69999999999999</v>
      </c>
      <c r="M224" s="407">
        <f t="shared" si="85"/>
        <v>100</v>
      </c>
      <c r="N224" s="418"/>
      <c r="O224" s="418"/>
      <c r="P224" s="710"/>
      <c r="Q224" s="255">
        <v>1</v>
      </c>
      <c r="R224" s="255"/>
      <c r="S224" s="255"/>
      <c r="T224" s="181"/>
      <c r="U224" s="491">
        <f t="shared" si="96"/>
        <v>0</v>
      </c>
      <c r="V224" s="491"/>
      <c r="AC224" s="491"/>
    </row>
    <row r="225" spans="1:29" ht="16.2">
      <c r="A225" s="298" t="s">
        <v>11</v>
      </c>
      <c r="B225" s="301" t="s">
        <v>360</v>
      </c>
      <c r="C225" s="227"/>
      <c r="D225" s="341"/>
      <c r="E225" s="343">
        <f>SUM(E226:E230)</f>
        <v>10593.4</v>
      </c>
      <c r="F225" s="343">
        <f t="shared" ref="F225:L225" si="107">SUM(F226:F230)</f>
        <v>8508.0999999999985</v>
      </c>
      <c r="G225" s="343">
        <f t="shared" si="107"/>
        <v>581.86</v>
      </c>
      <c r="H225" s="343">
        <f t="shared" si="107"/>
        <v>4186.1000000000004</v>
      </c>
      <c r="I225" s="343">
        <f t="shared" si="107"/>
        <v>3413.5119999999997</v>
      </c>
      <c r="J225" s="504">
        <f t="shared" si="107"/>
        <v>3413.5119999999997</v>
      </c>
      <c r="K225" s="395">
        <f t="shared" si="95"/>
        <v>81.543966938200214</v>
      </c>
      <c r="L225" s="343">
        <f t="shared" si="107"/>
        <v>4186.1000000000004</v>
      </c>
      <c r="M225" s="395">
        <f t="shared" si="85"/>
        <v>100</v>
      </c>
      <c r="N225" s="227"/>
      <c r="O225" s="227"/>
      <c r="P225" s="710"/>
      <c r="Q225" s="255"/>
      <c r="R225" s="255"/>
      <c r="S225" s="255"/>
      <c r="T225" s="181"/>
      <c r="U225" s="491">
        <f t="shared" si="96"/>
        <v>0</v>
      </c>
      <c r="V225" s="491"/>
      <c r="AC225" s="491"/>
    </row>
    <row r="226" spans="1:29" ht="31.2">
      <c r="A226" s="271" t="s">
        <v>35</v>
      </c>
      <c r="B226" s="297" t="s">
        <v>398</v>
      </c>
      <c r="C226" s="227" t="s">
        <v>532</v>
      </c>
      <c r="D226" s="271">
        <v>8029550</v>
      </c>
      <c r="E226" s="334">
        <v>1156.8</v>
      </c>
      <c r="F226" s="334">
        <v>1156.8</v>
      </c>
      <c r="G226" s="321">
        <v>581.86</v>
      </c>
      <c r="H226" s="334">
        <v>550</v>
      </c>
      <c r="I226" s="334">
        <f>J226</f>
        <v>295.37099999999998</v>
      </c>
      <c r="J226" s="503">
        <v>295.37099999999998</v>
      </c>
      <c r="K226" s="407">
        <f t="shared" si="95"/>
        <v>53.703818181818178</v>
      </c>
      <c r="L226" s="334">
        <f>H226</f>
        <v>550</v>
      </c>
      <c r="M226" s="407">
        <f t="shared" si="85"/>
        <v>100</v>
      </c>
      <c r="N226" s="418"/>
      <c r="O226" s="418"/>
      <c r="P226" s="821" t="s">
        <v>581</v>
      </c>
      <c r="Q226" s="255">
        <v>1</v>
      </c>
      <c r="R226" s="255">
        <v>1</v>
      </c>
      <c r="S226" s="255"/>
      <c r="T226" s="181"/>
      <c r="U226" s="491">
        <f t="shared" si="96"/>
        <v>0</v>
      </c>
      <c r="V226" s="491"/>
      <c r="AC226" s="491"/>
    </row>
    <row r="227" spans="1:29" ht="31.2">
      <c r="A227" s="271" t="s">
        <v>35</v>
      </c>
      <c r="B227" s="297" t="s">
        <v>399</v>
      </c>
      <c r="C227" s="227" t="s">
        <v>532</v>
      </c>
      <c r="D227" s="271"/>
      <c r="E227" s="334">
        <v>1044.5999999999999</v>
      </c>
      <c r="F227" s="334">
        <v>1044.5999999999999</v>
      </c>
      <c r="G227" s="334"/>
      <c r="H227" s="334"/>
      <c r="I227" s="334"/>
      <c r="J227" s="503"/>
      <c r="K227" s="407"/>
      <c r="L227" s="334"/>
      <c r="M227" s="407"/>
      <c r="N227" s="418"/>
      <c r="O227" s="418"/>
      <c r="P227" s="823"/>
      <c r="Q227" s="255"/>
      <c r="R227" s="255"/>
      <c r="S227" s="255"/>
      <c r="T227" s="181"/>
      <c r="U227" s="491">
        <f t="shared" si="96"/>
        <v>0</v>
      </c>
      <c r="V227" s="491"/>
      <c r="AC227" s="491"/>
    </row>
    <row r="228" spans="1:29" ht="31.2">
      <c r="A228" s="271" t="s">
        <v>35</v>
      </c>
      <c r="B228" s="297" t="s">
        <v>400</v>
      </c>
      <c r="C228" s="227" t="s">
        <v>532</v>
      </c>
      <c r="D228" s="271">
        <v>8022250</v>
      </c>
      <c r="E228" s="334">
        <v>723</v>
      </c>
      <c r="F228" s="334">
        <v>723</v>
      </c>
      <c r="G228" s="334"/>
      <c r="H228" s="334">
        <v>723</v>
      </c>
      <c r="I228" s="334">
        <f>J228</f>
        <v>245.512</v>
      </c>
      <c r="J228" s="503">
        <v>245.512</v>
      </c>
      <c r="K228" s="407">
        <f t="shared" si="95"/>
        <v>33.957399723374827</v>
      </c>
      <c r="L228" s="334">
        <f>H228</f>
        <v>723</v>
      </c>
      <c r="M228" s="407">
        <f t="shared" ref="M228:M248" si="108">L228/H228*100</f>
        <v>100</v>
      </c>
      <c r="N228" s="418"/>
      <c r="O228" s="418"/>
      <c r="P228" s="710"/>
      <c r="Q228" s="255">
        <v>1</v>
      </c>
      <c r="R228" s="255">
        <v>1</v>
      </c>
      <c r="S228" s="255"/>
      <c r="T228" s="181"/>
      <c r="U228" s="491">
        <f t="shared" si="96"/>
        <v>0</v>
      </c>
      <c r="V228" s="491"/>
      <c r="AC228" s="491"/>
    </row>
    <row r="229" spans="1:29" ht="31.2">
      <c r="A229" s="271" t="s">
        <v>35</v>
      </c>
      <c r="B229" s="297" t="s">
        <v>401</v>
      </c>
      <c r="C229" s="227" t="s">
        <v>532</v>
      </c>
      <c r="D229" s="271">
        <v>8037595</v>
      </c>
      <c r="E229" s="334">
        <v>5500</v>
      </c>
      <c r="F229" s="334">
        <v>3414.7</v>
      </c>
      <c r="G229" s="334"/>
      <c r="H229" s="334">
        <v>1820</v>
      </c>
      <c r="I229" s="334">
        <f>J229</f>
        <v>1796.0219999999999</v>
      </c>
      <c r="J229" s="503">
        <v>1796.0219999999999</v>
      </c>
      <c r="K229" s="407">
        <f t="shared" si="95"/>
        <v>98.682527472527468</v>
      </c>
      <c r="L229" s="334">
        <f>H229</f>
        <v>1820</v>
      </c>
      <c r="M229" s="407">
        <f t="shared" si="108"/>
        <v>100</v>
      </c>
      <c r="N229" s="418"/>
      <c r="O229" s="418"/>
      <c r="P229" s="710"/>
      <c r="Q229" s="255">
        <v>1</v>
      </c>
      <c r="R229" s="255">
        <v>1</v>
      </c>
      <c r="S229" s="255"/>
      <c r="T229" s="181"/>
      <c r="U229" s="491">
        <f t="shared" si="96"/>
        <v>0</v>
      </c>
      <c r="V229" s="491"/>
      <c r="AC229" s="491"/>
    </row>
    <row r="230" spans="1:29" ht="31.2">
      <c r="A230" s="271" t="s">
        <v>35</v>
      </c>
      <c r="B230" s="297" t="s">
        <v>402</v>
      </c>
      <c r="C230" s="227" t="s">
        <v>532</v>
      </c>
      <c r="D230" s="271">
        <v>8029467</v>
      </c>
      <c r="E230" s="334">
        <v>2169</v>
      </c>
      <c r="F230" s="334">
        <v>2169</v>
      </c>
      <c r="G230" s="334"/>
      <c r="H230" s="334">
        <v>1093.0999999999999</v>
      </c>
      <c r="I230" s="334">
        <f>J230</f>
        <v>1076.607</v>
      </c>
      <c r="J230" s="503">
        <v>1076.607</v>
      </c>
      <c r="K230" s="407">
        <f t="shared" si="95"/>
        <v>98.491171896441315</v>
      </c>
      <c r="L230" s="334">
        <f>H230</f>
        <v>1093.0999999999999</v>
      </c>
      <c r="M230" s="407">
        <f t="shared" si="108"/>
        <v>100</v>
      </c>
      <c r="N230" s="418"/>
      <c r="O230" s="418"/>
      <c r="P230" s="718" t="s">
        <v>581</v>
      </c>
      <c r="Q230" s="255">
        <v>1</v>
      </c>
      <c r="R230" s="255">
        <v>1</v>
      </c>
      <c r="S230" s="255"/>
      <c r="T230" s="181"/>
      <c r="U230" s="491">
        <f t="shared" si="96"/>
        <v>0</v>
      </c>
      <c r="V230" s="491"/>
      <c r="AC230" s="491"/>
    </row>
    <row r="231" spans="1:29" ht="46.8">
      <c r="A231" s="264" t="s">
        <v>275</v>
      </c>
      <c r="B231" s="194" t="s">
        <v>276</v>
      </c>
      <c r="C231" s="263"/>
      <c r="D231" s="341"/>
      <c r="E231" s="333">
        <f>E232+E239</f>
        <v>39065.582000000002</v>
      </c>
      <c r="F231" s="333">
        <f t="shared" ref="F231:L231" si="109">F232+F239</f>
        <v>29765</v>
      </c>
      <c r="G231" s="333">
        <f t="shared" si="109"/>
        <v>4380</v>
      </c>
      <c r="H231" s="333">
        <f t="shared" si="109"/>
        <v>6570</v>
      </c>
      <c r="I231" s="333">
        <f t="shared" si="109"/>
        <v>4133.1301409999996</v>
      </c>
      <c r="J231" s="682">
        <f t="shared" si="109"/>
        <v>4133.1301409999996</v>
      </c>
      <c r="K231" s="395">
        <f t="shared" si="95"/>
        <v>62.909134566210042</v>
      </c>
      <c r="L231" s="333">
        <f t="shared" si="109"/>
        <v>6570</v>
      </c>
      <c r="M231" s="395">
        <f t="shared" si="108"/>
        <v>100</v>
      </c>
      <c r="N231" s="227"/>
      <c r="O231" s="227"/>
      <c r="P231" s="710"/>
      <c r="Q231" s="255"/>
      <c r="R231" s="255"/>
      <c r="S231" s="255"/>
      <c r="T231" s="181"/>
      <c r="U231" s="491">
        <f t="shared" si="96"/>
        <v>0</v>
      </c>
      <c r="V231" s="491"/>
      <c r="AC231" s="491"/>
    </row>
    <row r="232" spans="1:29" ht="16.2">
      <c r="A232" s="298" t="s">
        <v>11</v>
      </c>
      <c r="B232" s="301" t="s">
        <v>337</v>
      </c>
      <c r="C232" s="383"/>
      <c r="D232" s="341"/>
      <c r="E232" s="343">
        <f>SUM(E233:E238)</f>
        <v>21215.582000000002</v>
      </c>
      <c r="F232" s="343">
        <f t="shared" ref="F232:L232" si="110">SUM(F233:F238)</f>
        <v>20715</v>
      </c>
      <c r="G232" s="343">
        <f t="shared" si="110"/>
        <v>4380</v>
      </c>
      <c r="H232" s="343">
        <f t="shared" si="110"/>
        <v>4620</v>
      </c>
      <c r="I232" s="343">
        <f>SUM(I234:I238)</f>
        <v>2739.0329999999999</v>
      </c>
      <c r="J232" s="504">
        <f>SUM(J234:J238)</f>
        <v>2739.0329999999999</v>
      </c>
      <c r="K232" s="395">
        <f t="shared" si="95"/>
        <v>59.286428571428573</v>
      </c>
      <c r="L232" s="343">
        <f t="shared" si="110"/>
        <v>4620</v>
      </c>
      <c r="M232" s="395">
        <f t="shared" si="108"/>
        <v>100</v>
      </c>
      <c r="N232" s="227"/>
      <c r="O232" s="227"/>
      <c r="P232" s="710"/>
      <c r="Q232" s="255"/>
      <c r="R232" s="255"/>
      <c r="S232" s="255"/>
      <c r="T232" s="181"/>
      <c r="U232" s="491">
        <f t="shared" si="96"/>
        <v>0</v>
      </c>
      <c r="V232" s="491"/>
      <c r="AC232" s="491"/>
    </row>
    <row r="233" spans="1:29" ht="35.4" customHeight="1">
      <c r="A233" s="271">
        <v>1</v>
      </c>
      <c r="B233" s="297" t="s">
        <v>277</v>
      </c>
      <c r="C233" s="227" t="s">
        <v>532</v>
      </c>
      <c r="D233" s="271">
        <v>7990602</v>
      </c>
      <c r="E233" s="334">
        <v>6915.5820000000003</v>
      </c>
      <c r="F233" s="334">
        <v>6915</v>
      </c>
      <c r="G233" s="334">
        <v>1000</v>
      </c>
      <c r="H233" s="334">
        <v>1200</v>
      </c>
      <c r="I233" s="335">
        <f>J233</f>
        <v>577.10799999999995</v>
      </c>
      <c r="J233" s="503">
        <v>577.10799999999995</v>
      </c>
      <c r="K233" s="407">
        <f>J233/H233*100</f>
        <v>48.092333333333329</v>
      </c>
      <c r="L233" s="334">
        <f t="shared" ref="L233:L238" si="111">H233</f>
        <v>1200</v>
      </c>
      <c r="M233" s="407">
        <f t="shared" si="108"/>
        <v>100</v>
      </c>
      <c r="N233" s="416"/>
      <c r="O233" s="418"/>
      <c r="P233" s="718" t="s">
        <v>683</v>
      </c>
      <c r="Q233" s="255">
        <v>1</v>
      </c>
      <c r="R233" s="255"/>
      <c r="S233" s="255"/>
      <c r="T233" s="181"/>
      <c r="U233" s="491">
        <f t="shared" si="96"/>
        <v>0</v>
      </c>
      <c r="V233" s="491"/>
      <c r="AC233" s="491"/>
    </row>
    <row r="234" spans="1:29" ht="35.4" customHeight="1">
      <c r="A234" s="271">
        <v>3</v>
      </c>
      <c r="B234" s="297" t="s">
        <v>278</v>
      </c>
      <c r="C234" s="227" t="s">
        <v>532</v>
      </c>
      <c r="D234" s="271">
        <v>7990603</v>
      </c>
      <c r="E234" s="334">
        <v>10500</v>
      </c>
      <c r="F234" s="334">
        <v>10000</v>
      </c>
      <c r="G234" s="334">
        <v>500</v>
      </c>
      <c r="H234" s="334">
        <v>2500</v>
      </c>
      <c r="I234" s="334">
        <f>J234</f>
        <v>2219.1489999999999</v>
      </c>
      <c r="J234" s="503">
        <v>2219.1489999999999</v>
      </c>
      <c r="K234" s="407">
        <f>J234/H234*100</f>
        <v>88.765959999999993</v>
      </c>
      <c r="L234" s="334">
        <f t="shared" si="111"/>
        <v>2500</v>
      </c>
      <c r="M234" s="407">
        <f t="shared" si="108"/>
        <v>100</v>
      </c>
      <c r="N234" s="416"/>
      <c r="O234" s="418"/>
      <c r="P234" s="718" t="s">
        <v>683</v>
      </c>
      <c r="Q234" s="255">
        <v>1</v>
      </c>
      <c r="R234" s="255"/>
      <c r="S234" s="255"/>
      <c r="T234" s="181"/>
      <c r="U234" s="491">
        <f t="shared" si="96"/>
        <v>0</v>
      </c>
      <c r="V234" s="491"/>
      <c r="AC234" s="491"/>
    </row>
    <row r="235" spans="1:29">
      <c r="A235" s="271">
        <v>4</v>
      </c>
      <c r="B235" s="297" t="s">
        <v>279</v>
      </c>
      <c r="C235" s="227" t="s">
        <v>179</v>
      </c>
      <c r="D235" s="341">
        <v>8004995</v>
      </c>
      <c r="E235" s="334">
        <v>950</v>
      </c>
      <c r="F235" s="334">
        <v>950</v>
      </c>
      <c r="G235" s="334">
        <v>740</v>
      </c>
      <c r="H235" s="334">
        <v>210</v>
      </c>
      <c r="I235" s="334">
        <f>J235</f>
        <v>169.041</v>
      </c>
      <c r="J235" s="503">
        <v>169.041</v>
      </c>
      <c r="K235" s="407">
        <f t="shared" si="95"/>
        <v>80.495714285714286</v>
      </c>
      <c r="L235" s="334">
        <f t="shared" si="111"/>
        <v>210</v>
      </c>
      <c r="M235" s="407">
        <f t="shared" si="108"/>
        <v>100</v>
      </c>
      <c r="N235" s="416"/>
      <c r="O235" s="416"/>
      <c r="P235" s="710"/>
      <c r="Q235" s="255">
        <v>1</v>
      </c>
      <c r="R235" s="255"/>
      <c r="S235" s="255"/>
      <c r="T235" s="181"/>
      <c r="U235" s="491">
        <f t="shared" si="96"/>
        <v>0</v>
      </c>
      <c r="V235" s="491"/>
      <c r="AC235" s="491"/>
    </row>
    <row r="236" spans="1:29">
      <c r="A236" s="271">
        <v>5</v>
      </c>
      <c r="B236" s="297" t="s">
        <v>280</v>
      </c>
      <c r="C236" s="227" t="s">
        <v>179</v>
      </c>
      <c r="D236" s="341">
        <v>8006666</v>
      </c>
      <c r="E236" s="334">
        <v>950</v>
      </c>
      <c r="F236" s="334">
        <v>950</v>
      </c>
      <c r="G236" s="334">
        <v>740</v>
      </c>
      <c r="H236" s="334">
        <v>210</v>
      </c>
      <c r="I236" s="334">
        <f t="shared" ref="I236:I237" si="112">J236</f>
        <v>158.46799999999999</v>
      </c>
      <c r="J236" s="503">
        <v>158.46799999999999</v>
      </c>
      <c r="K236" s="407">
        <f t="shared" si="95"/>
        <v>75.460952380952378</v>
      </c>
      <c r="L236" s="334">
        <f t="shared" si="111"/>
        <v>210</v>
      </c>
      <c r="M236" s="407">
        <f t="shared" si="108"/>
        <v>100</v>
      </c>
      <c r="N236" s="416"/>
      <c r="O236" s="416"/>
      <c r="P236" s="710"/>
      <c r="Q236" s="255">
        <v>1</v>
      </c>
      <c r="R236" s="255"/>
      <c r="S236" s="255"/>
      <c r="T236" s="181"/>
      <c r="U236" s="491">
        <f t="shared" si="96"/>
        <v>0</v>
      </c>
      <c r="V236" s="491"/>
      <c r="AC236" s="491"/>
    </row>
    <row r="237" spans="1:29">
      <c r="A237" s="271">
        <v>6</v>
      </c>
      <c r="B237" s="297" t="s">
        <v>281</v>
      </c>
      <c r="C237" s="227" t="s">
        <v>293</v>
      </c>
      <c r="D237" s="341">
        <v>7998192</v>
      </c>
      <c r="E237" s="334">
        <v>950</v>
      </c>
      <c r="F237" s="334">
        <v>950</v>
      </c>
      <c r="G237" s="334">
        <v>700</v>
      </c>
      <c r="H237" s="334">
        <v>250</v>
      </c>
      <c r="I237" s="334">
        <f t="shared" si="112"/>
        <v>0</v>
      </c>
      <c r="J237" s="503"/>
      <c r="K237" s="407">
        <f t="shared" si="95"/>
        <v>0</v>
      </c>
      <c r="L237" s="334">
        <f t="shared" si="111"/>
        <v>250</v>
      </c>
      <c r="M237" s="407">
        <f t="shared" si="108"/>
        <v>100</v>
      </c>
      <c r="N237" s="417"/>
      <c r="O237" s="417"/>
      <c r="P237" s="710"/>
      <c r="Q237" s="255">
        <v>1</v>
      </c>
      <c r="R237" s="255"/>
      <c r="S237" s="255"/>
      <c r="T237" s="181"/>
      <c r="U237" s="491">
        <f t="shared" si="96"/>
        <v>0</v>
      </c>
      <c r="V237" s="491"/>
      <c r="AC237" s="491"/>
    </row>
    <row r="238" spans="1:29">
      <c r="A238" s="271">
        <v>7</v>
      </c>
      <c r="B238" s="297" t="s">
        <v>282</v>
      </c>
      <c r="C238" s="227" t="s">
        <v>289</v>
      </c>
      <c r="D238" s="341">
        <v>7994163</v>
      </c>
      <c r="E238" s="334">
        <v>950</v>
      </c>
      <c r="F238" s="334">
        <v>950</v>
      </c>
      <c r="G238" s="334">
        <v>700</v>
      </c>
      <c r="H238" s="334">
        <v>250</v>
      </c>
      <c r="I238" s="334">
        <v>192.375</v>
      </c>
      <c r="J238" s="503">
        <v>192.375</v>
      </c>
      <c r="K238" s="407">
        <f t="shared" si="95"/>
        <v>76.95</v>
      </c>
      <c r="L238" s="334">
        <f t="shared" si="111"/>
        <v>250</v>
      </c>
      <c r="M238" s="407">
        <f t="shared" si="108"/>
        <v>100</v>
      </c>
      <c r="N238" s="418"/>
      <c r="O238" s="418"/>
      <c r="P238" s="715"/>
      <c r="Q238" s="255">
        <v>1</v>
      </c>
      <c r="R238" s="255"/>
      <c r="S238" s="255"/>
      <c r="T238" s="181"/>
      <c r="U238" s="491">
        <f t="shared" si="96"/>
        <v>0</v>
      </c>
      <c r="V238" s="491"/>
      <c r="AC238" s="491"/>
    </row>
    <row r="239" spans="1:29" ht="16.2">
      <c r="A239" s="298" t="s">
        <v>11</v>
      </c>
      <c r="B239" s="301" t="s">
        <v>360</v>
      </c>
      <c r="C239" s="227"/>
      <c r="D239" s="341"/>
      <c r="E239" s="343">
        <f>SUM(E240:E243)</f>
        <v>17850</v>
      </c>
      <c r="F239" s="343">
        <f t="shared" ref="F239:L239" si="113">SUM(F240:F243)</f>
        <v>9050</v>
      </c>
      <c r="G239" s="343">
        <f t="shared" si="113"/>
        <v>0</v>
      </c>
      <c r="H239" s="343">
        <f t="shared" si="113"/>
        <v>1950</v>
      </c>
      <c r="I239" s="343">
        <f t="shared" si="113"/>
        <v>1394.0971410000002</v>
      </c>
      <c r="J239" s="504">
        <f t="shared" si="113"/>
        <v>1394.0971410000002</v>
      </c>
      <c r="K239" s="395">
        <f t="shared" si="95"/>
        <v>71.492161076923082</v>
      </c>
      <c r="L239" s="343">
        <f t="shared" si="113"/>
        <v>1950</v>
      </c>
      <c r="M239" s="395">
        <f t="shared" si="108"/>
        <v>100</v>
      </c>
      <c r="N239" s="227"/>
      <c r="O239" s="227"/>
      <c r="P239" s="710"/>
      <c r="Q239" s="255"/>
      <c r="R239" s="255"/>
      <c r="S239" s="255"/>
      <c r="T239" s="181"/>
      <c r="U239" s="491">
        <f t="shared" si="96"/>
        <v>0</v>
      </c>
      <c r="V239" s="491"/>
      <c r="AC239" s="491"/>
    </row>
    <row r="240" spans="1:29" ht="46.8">
      <c r="A240" s="271">
        <v>1</v>
      </c>
      <c r="B240" s="297" t="s">
        <v>403</v>
      </c>
      <c r="C240" s="227" t="s">
        <v>532</v>
      </c>
      <c r="D240" s="271" t="s">
        <v>544</v>
      </c>
      <c r="E240" s="334">
        <v>6000</v>
      </c>
      <c r="F240" s="334">
        <v>6000</v>
      </c>
      <c r="G240" s="334">
        <v>0</v>
      </c>
      <c r="H240" s="334">
        <v>0</v>
      </c>
      <c r="I240" s="334"/>
      <c r="J240" s="503"/>
      <c r="K240" s="407">
        <v>0</v>
      </c>
      <c r="L240" s="334">
        <f>H240</f>
        <v>0</v>
      </c>
      <c r="M240" s="407">
        <v>0</v>
      </c>
      <c r="N240" s="418"/>
      <c r="O240" s="418"/>
      <c r="P240" s="720" t="s">
        <v>684</v>
      </c>
      <c r="Q240" s="255"/>
      <c r="R240" s="255"/>
      <c r="S240" s="255"/>
      <c r="T240" s="181"/>
      <c r="U240" s="491">
        <f t="shared" si="96"/>
        <v>0</v>
      </c>
      <c r="V240" s="491"/>
      <c r="AC240" s="491"/>
    </row>
    <row r="241" spans="1:29" ht="31.2">
      <c r="A241" s="271">
        <v>2</v>
      </c>
      <c r="B241" s="297" t="s">
        <v>404</v>
      </c>
      <c r="C241" s="227" t="s">
        <v>287</v>
      </c>
      <c r="D241" s="271">
        <v>8016497</v>
      </c>
      <c r="E241" s="334">
        <v>900</v>
      </c>
      <c r="F241" s="334">
        <v>900</v>
      </c>
      <c r="G241" s="334">
        <v>0</v>
      </c>
      <c r="H241" s="334">
        <v>700</v>
      </c>
      <c r="I241" s="334">
        <f>J241</f>
        <v>696.45500000000004</v>
      </c>
      <c r="J241" s="503">
        <v>696.45500000000004</v>
      </c>
      <c r="K241" s="407">
        <f t="shared" si="95"/>
        <v>99.493571428571443</v>
      </c>
      <c r="L241" s="334">
        <f>H241</f>
        <v>700</v>
      </c>
      <c r="M241" s="407">
        <f t="shared" si="108"/>
        <v>100</v>
      </c>
      <c r="N241" s="416"/>
      <c r="O241" s="271"/>
      <c r="P241" s="710"/>
      <c r="Q241" s="255">
        <v>1</v>
      </c>
      <c r="R241" s="255">
        <v>1</v>
      </c>
      <c r="S241" s="255">
        <v>1</v>
      </c>
      <c r="T241" s="181"/>
      <c r="U241" s="491">
        <f t="shared" si="96"/>
        <v>0</v>
      </c>
      <c r="V241" s="491"/>
      <c r="AC241" s="491"/>
    </row>
    <row r="242" spans="1:29" s="104" customFormat="1" ht="31.2">
      <c r="A242" s="155">
        <v>3</v>
      </c>
      <c r="B242" s="80" t="s">
        <v>602</v>
      </c>
      <c r="C242" s="56" t="s">
        <v>532</v>
      </c>
      <c r="D242" s="347"/>
      <c r="E242" s="503">
        <v>10000</v>
      </c>
      <c r="F242" s="503">
        <v>1200</v>
      </c>
      <c r="G242" s="503"/>
      <c r="H242" s="503">
        <v>500</v>
      </c>
      <c r="I242" s="503"/>
      <c r="J242" s="503"/>
      <c r="K242" s="481">
        <f t="shared" si="95"/>
        <v>0</v>
      </c>
      <c r="L242" s="503">
        <f>H242</f>
        <v>500</v>
      </c>
      <c r="M242" s="481">
        <f t="shared" si="108"/>
        <v>100</v>
      </c>
      <c r="N242" s="690"/>
      <c r="O242" s="155"/>
      <c r="P242" s="721" t="s">
        <v>606</v>
      </c>
      <c r="Q242" s="456"/>
      <c r="R242" s="456"/>
      <c r="S242" s="456"/>
      <c r="T242" s="167"/>
      <c r="U242" s="691"/>
      <c r="V242" s="691"/>
      <c r="AC242" s="691"/>
    </row>
    <row r="243" spans="1:29">
      <c r="A243" s="271">
        <v>4</v>
      </c>
      <c r="B243" s="297" t="s">
        <v>405</v>
      </c>
      <c r="C243" s="227" t="s">
        <v>179</v>
      </c>
      <c r="D243" s="341">
        <v>8017093</v>
      </c>
      <c r="E243" s="334">
        <v>950</v>
      </c>
      <c r="F243" s="334">
        <v>950</v>
      </c>
      <c r="G243" s="334">
        <v>0</v>
      </c>
      <c r="H243" s="334">
        <v>750</v>
      </c>
      <c r="I243" s="334">
        <f>J243</f>
        <v>697.64214100000004</v>
      </c>
      <c r="J243" s="503">
        <v>697.64214100000004</v>
      </c>
      <c r="K243" s="407">
        <f t="shared" si="95"/>
        <v>93.018952133333343</v>
      </c>
      <c r="L243" s="334">
        <f>H243</f>
        <v>750</v>
      </c>
      <c r="M243" s="407">
        <f t="shared" si="108"/>
        <v>100</v>
      </c>
      <c r="N243" s="416"/>
      <c r="O243" s="416"/>
      <c r="P243" s="710"/>
      <c r="Q243" s="255">
        <v>1</v>
      </c>
      <c r="R243" s="255">
        <v>1</v>
      </c>
      <c r="S243" s="255">
        <v>1</v>
      </c>
      <c r="T243" s="181"/>
      <c r="U243" s="491">
        <f>I243-J243</f>
        <v>0</v>
      </c>
      <c r="V243" s="491"/>
      <c r="AC243" s="491"/>
    </row>
    <row r="244" spans="1:29" ht="62.4" hidden="1">
      <c r="A244" s="264" t="s">
        <v>283</v>
      </c>
      <c r="B244" s="194" t="s">
        <v>284</v>
      </c>
      <c r="C244" s="263"/>
      <c r="D244" s="341"/>
      <c r="E244" s="333">
        <f>E245</f>
        <v>610</v>
      </c>
      <c r="F244" s="333">
        <f t="shared" ref="F244:L244" si="114">F245</f>
        <v>610</v>
      </c>
      <c r="G244" s="333">
        <f t="shared" si="114"/>
        <v>0</v>
      </c>
      <c r="H244" s="333">
        <f t="shared" si="114"/>
        <v>0</v>
      </c>
      <c r="I244" s="333">
        <f t="shared" si="114"/>
        <v>0</v>
      </c>
      <c r="J244" s="682">
        <f t="shared" si="114"/>
        <v>0</v>
      </c>
      <c r="K244" s="395" t="e">
        <f t="shared" si="95"/>
        <v>#DIV/0!</v>
      </c>
      <c r="L244" s="333">
        <f t="shared" si="114"/>
        <v>0</v>
      </c>
      <c r="M244" s="407" t="e">
        <f t="shared" si="108"/>
        <v>#DIV/0!</v>
      </c>
      <c r="N244" s="227" t="s">
        <v>537</v>
      </c>
      <c r="O244" s="227"/>
      <c r="P244" s="718" t="s">
        <v>554</v>
      </c>
      <c r="Q244" s="255"/>
      <c r="R244" s="255"/>
      <c r="S244" s="255"/>
      <c r="T244" s="181"/>
      <c r="U244" s="525"/>
      <c r="V244" s="491"/>
      <c r="AC244" s="491"/>
    </row>
    <row r="245" spans="1:29" ht="64.8" hidden="1">
      <c r="A245" s="298">
        <v>1</v>
      </c>
      <c r="B245" s="301" t="s">
        <v>285</v>
      </c>
      <c r="C245" s="383"/>
      <c r="D245" s="341"/>
      <c r="E245" s="343">
        <f>E246</f>
        <v>610</v>
      </c>
      <c r="F245" s="343">
        <f t="shared" ref="F245:L245" si="115">F246</f>
        <v>610</v>
      </c>
      <c r="G245" s="343">
        <f t="shared" si="115"/>
        <v>0</v>
      </c>
      <c r="H245" s="343">
        <f t="shared" si="115"/>
        <v>0</v>
      </c>
      <c r="I245" s="343">
        <f t="shared" si="115"/>
        <v>0</v>
      </c>
      <c r="J245" s="504">
        <f t="shared" si="115"/>
        <v>0</v>
      </c>
      <c r="K245" s="395" t="e">
        <f t="shared" si="95"/>
        <v>#DIV/0!</v>
      </c>
      <c r="L245" s="343">
        <f t="shared" si="115"/>
        <v>0</v>
      </c>
      <c r="M245" s="407" t="e">
        <f t="shared" si="108"/>
        <v>#DIV/0!</v>
      </c>
      <c r="N245" s="227"/>
      <c r="O245" s="227"/>
      <c r="P245" s="710"/>
      <c r="Q245" s="255"/>
      <c r="R245" s="255"/>
      <c r="S245" s="255"/>
      <c r="T245" s="181"/>
      <c r="U245" s="525"/>
      <c r="V245" s="491"/>
      <c r="AC245" s="491"/>
    </row>
    <row r="246" spans="1:29" ht="32.4" hidden="1">
      <c r="A246" s="302" t="s">
        <v>39</v>
      </c>
      <c r="B246" s="299" t="s">
        <v>286</v>
      </c>
      <c r="C246" s="383"/>
      <c r="D246" s="341"/>
      <c r="E246" s="343">
        <f>E247</f>
        <v>610</v>
      </c>
      <c r="F246" s="343">
        <f t="shared" ref="F246:L246" si="116">F247</f>
        <v>610</v>
      </c>
      <c r="G246" s="343">
        <f t="shared" si="116"/>
        <v>0</v>
      </c>
      <c r="H246" s="343">
        <f t="shared" si="116"/>
        <v>0</v>
      </c>
      <c r="I246" s="343">
        <f t="shared" si="116"/>
        <v>0</v>
      </c>
      <c r="J246" s="504">
        <f t="shared" si="116"/>
        <v>0</v>
      </c>
      <c r="K246" s="395" t="e">
        <f t="shared" si="95"/>
        <v>#DIV/0!</v>
      </c>
      <c r="L246" s="343">
        <f t="shared" si="116"/>
        <v>0</v>
      </c>
      <c r="M246" s="407" t="e">
        <f t="shared" si="108"/>
        <v>#DIV/0!</v>
      </c>
      <c r="N246" s="227"/>
      <c r="O246" s="227"/>
      <c r="P246" s="710"/>
      <c r="Q246" s="255"/>
      <c r="R246" s="255"/>
      <c r="S246" s="255"/>
      <c r="T246" s="181"/>
      <c r="U246" s="525"/>
      <c r="V246" s="491"/>
      <c r="AC246" s="491"/>
    </row>
    <row r="247" spans="1:29" ht="16.2" hidden="1">
      <c r="A247" s="298" t="s">
        <v>11</v>
      </c>
      <c r="B247" s="301" t="s">
        <v>360</v>
      </c>
      <c r="C247" s="383"/>
      <c r="D247" s="341"/>
      <c r="E247" s="343">
        <f>SUM(E248:E249)</f>
        <v>610</v>
      </c>
      <c r="F247" s="343">
        <f t="shared" ref="F247:L247" si="117">SUM(F248:F249)</f>
        <v>610</v>
      </c>
      <c r="G247" s="343">
        <f t="shared" si="117"/>
        <v>0</v>
      </c>
      <c r="H247" s="343">
        <f t="shared" si="117"/>
        <v>0</v>
      </c>
      <c r="I247" s="343">
        <f t="shared" si="117"/>
        <v>0</v>
      </c>
      <c r="J247" s="504">
        <f t="shared" si="117"/>
        <v>0</v>
      </c>
      <c r="K247" s="395" t="e">
        <f t="shared" si="95"/>
        <v>#DIV/0!</v>
      </c>
      <c r="L247" s="343">
        <f t="shared" si="117"/>
        <v>0</v>
      </c>
      <c r="M247" s="407" t="e">
        <f t="shared" si="108"/>
        <v>#DIV/0!</v>
      </c>
      <c r="N247" s="227"/>
      <c r="O247" s="227"/>
      <c r="P247" s="710"/>
      <c r="Q247" s="255"/>
      <c r="R247" s="255"/>
      <c r="S247" s="255"/>
      <c r="T247" s="181"/>
      <c r="U247" s="525"/>
      <c r="V247" s="491"/>
      <c r="AC247" s="491"/>
    </row>
    <row r="248" spans="1:29" hidden="1">
      <c r="A248" s="271" t="s">
        <v>35</v>
      </c>
      <c r="B248" s="297" t="s">
        <v>406</v>
      </c>
      <c r="C248" s="227" t="s">
        <v>178</v>
      </c>
      <c r="D248" s="341"/>
      <c r="E248" s="334">
        <v>300</v>
      </c>
      <c r="F248" s="334">
        <v>300</v>
      </c>
      <c r="G248" s="334">
        <v>0</v>
      </c>
      <c r="H248" s="334"/>
      <c r="I248" s="334"/>
      <c r="J248" s="503"/>
      <c r="K248" s="407" t="e">
        <f t="shared" si="95"/>
        <v>#DIV/0!</v>
      </c>
      <c r="L248" s="334"/>
      <c r="M248" s="407" t="e">
        <f t="shared" si="108"/>
        <v>#DIV/0!</v>
      </c>
      <c r="N248" s="227"/>
      <c r="O248" s="227"/>
      <c r="P248" s="710"/>
      <c r="Q248" s="255"/>
      <c r="R248" s="255"/>
      <c r="S248" s="255"/>
      <c r="T248" s="181"/>
      <c r="U248" s="525"/>
      <c r="V248" s="491"/>
      <c r="AC248" s="491"/>
    </row>
    <row r="249" spans="1:29" ht="31.2" hidden="1">
      <c r="A249" s="271" t="s">
        <v>35</v>
      </c>
      <c r="B249" s="297" t="s">
        <v>407</v>
      </c>
      <c r="C249" s="227" t="s">
        <v>292</v>
      </c>
      <c r="D249" s="271"/>
      <c r="E249" s="334">
        <v>310</v>
      </c>
      <c r="F249" s="334">
        <v>310</v>
      </c>
      <c r="G249" s="334">
        <v>0</v>
      </c>
      <c r="H249" s="334"/>
      <c r="I249" s="334"/>
      <c r="J249" s="503"/>
      <c r="K249" s="407"/>
      <c r="L249" s="334"/>
      <c r="M249" s="407"/>
      <c r="N249" s="417"/>
      <c r="O249" s="417"/>
      <c r="P249" s="710"/>
      <c r="Q249" s="255"/>
      <c r="R249" s="255"/>
      <c r="S249" s="255"/>
      <c r="T249" s="181"/>
      <c r="U249" s="525"/>
      <c r="V249" s="491"/>
      <c r="AC249" s="491"/>
    </row>
    <row r="250" spans="1:29">
      <c r="P250" s="722"/>
      <c r="AC250" s="491"/>
    </row>
    <row r="251" spans="1:29">
      <c r="P251" s="722"/>
      <c r="AC251" s="491"/>
    </row>
    <row r="252" spans="1:29">
      <c r="P252" s="722"/>
      <c r="AC252" s="491"/>
    </row>
    <row r="253" spans="1:29">
      <c r="P253" s="722"/>
      <c r="AC253" s="491"/>
    </row>
    <row r="254" spans="1:29">
      <c r="P254" s="722"/>
      <c r="AC254" s="491"/>
    </row>
    <row r="255" spans="1:29">
      <c r="P255" s="722"/>
      <c r="AC255" s="491"/>
    </row>
    <row r="256" spans="1:29">
      <c r="P256" s="722"/>
      <c r="AC256" s="491"/>
    </row>
    <row r="257" spans="4:29">
      <c r="P257" s="722"/>
      <c r="AC257" s="491"/>
    </row>
    <row r="258" spans="4:29">
      <c r="P258" s="722"/>
      <c r="AC258" s="491"/>
    </row>
    <row r="259" spans="4:29">
      <c r="P259" s="722"/>
      <c r="AC259" s="491"/>
    </row>
    <row r="260" spans="4:29">
      <c r="P260" s="722"/>
      <c r="AC260" s="491"/>
    </row>
    <row r="261" spans="4:29">
      <c r="P261" s="722"/>
      <c r="AC261" s="491"/>
    </row>
    <row r="262" spans="4:29">
      <c r="P262" s="722"/>
      <c r="AC262" s="491"/>
    </row>
    <row r="263" spans="4:29">
      <c r="D263" s="380"/>
      <c r="P263" s="722"/>
      <c r="AC263" s="491"/>
    </row>
    <row r="264" spans="4:29">
      <c r="P264" s="722"/>
      <c r="AC264" s="491"/>
    </row>
    <row r="265" spans="4:29">
      <c r="P265" s="722"/>
      <c r="AC265" s="491"/>
    </row>
    <row r="266" spans="4:29">
      <c r="P266" s="722"/>
      <c r="AC266" s="491"/>
    </row>
    <row r="267" spans="4:29">
      <c r="P267" s="722"/>
      <c r="AC267" s="491"/>
    </row>
    <row r="268" spans="4:29">
      <c r="P268" s="722"/>
      <c r="AC268" s="491"/>
    </row>
    <row r="269" spans="4:29">
      <c r="P269" s="722"/>
      <c r="AC269" s="491"/>
    </row>
    <row r="270" spans="4:29">
      <c r="P270" s="722"/>
      <c r="AC270" s="491"/>
    </row>
    <row r="271" spans="4:29">
      <c r="P271" s="722"/>
      <c r="AC271" s="491"/>
    </row>
    <row r="272" spans="4:29">
      <c r="P272" s="722"/>
      <c r="AC272" s="491"/>
    </row>
    <row r="273" spans="16:29">
      <c r="P273" s="722"/>
      <c r="AC273" s="491"/>
    </row>
    <row r="274" spans="16:29">
      <c r="P274" s="722"/>
      <c r="AC274" s="491"/>
    </row>
    <row r="275" spans="16:29">
      <c r="P275" s="722"/>
      <c r="AC275" s="491"/>
    </row>
    <row r="276" spans="16:29">
      <c r="P276" s="722"/>
      <c r="AC276" s="491"/>
    </row>
    <row r="277" spans="16:29">
      <c r="P277" s="722"/>
      <c r="AC277" s="491"/>
    </row>
    <row r="278" spans="16:29">
      <c r="P278" s="722"/>
      <c r="AC278" s="491"/>
    </row>
    <row r="279" spans="16:29">
      <c r="P279" s="722"/>
      <c r="AC279" s="491"/>
    </row>
    <row r="280" spans="16:29">
      <c r="P280" s="722"/>
      <c r="AC280" s="491"/>
    </row>
    <row r="281" spans="16:29">
      <c r="P281" s="722"/>
      <c r="AC281" s="491"/>
    </row>
    <row r="282" spans="16:29">
      <c r="P282" s="722"/>
      <c r="AC282" s="491"/>
    </row>
    <row r="283" spans="16:29">
      <c r="P283" s="722"/>
      <c r="AC283" s="491"/>
    </row>
    <row r="284" spans="16:29">
      <c r="P284" s="722"/>
      <c r="AC284" s="491"/>
    </row>
    <row r="285" spans="16:29">
      <c r="P285" s="722"/>
      <c r="AC285" s="491"/>
    </row>
    <row r="286" spans="16:29">
      <c r="P286" s="722"/>
      <c r="AC286" s="491"/>
    </row>
    <row r="287" spans="16:29">
      <c r="P287" s="722"/>
      <c r="AC287" s="491"/>
    </row>
    <row r="288" spans="16:29">
      <c r="P288" s="722"/>
      <c r="AC288" s="491"/>
    </row>
    <row r="289" spans="16:29">
      <c r="P289" s="722"/>
      <c r="AC289" s="491"/>
    </row>
    <row r="290" spans="16:29">
      <c r="P290" s="722"/>
      <c r="AC290" s="491"/>
    </row>
    <row r="291" spans="16:29">
      <c r="P291" s="722"/>
      <c r="AC291" s="491"/>
    </row>
    <row r="292" spans="16:29">
      <c r="P292" s="722"/>
      <c r="AC292" s="491"/>
    </row>
    <row r="293" spans="16:29">
      <c r="P293" s="722"/>
      <c r="AC293" s="491"/>
    </row>
    <row r="294" spans="16:29">
      <c r="P294" s="722"/>
      <c r="AC294" s="491"/>
    </row>
    <row r="295" spans="16:29">
      <c r="P295" s="722"/>
      <c r="AC295" s="491"/>
    </row>
    <row r="296" spans="16:29">
      <c r="P296" s="722"/>
      <c r="AC296" s="491"/>
    </row>
    <row r="297" spans="16:29">
      <c r="P297" s="722"/>
      <c r="AC297" s="491"/>
    </row>
    <row r="298" spans="16:29">
      <c r="P298" s="722"/>
      <c r="AC298" s="491"/>
    </row>
    <row r="299" spans="16:29">
      <c r="P299" s="722"/>
      <c r="AC299" s="491"/>
    </row>
    <row r="300" spans="16:29">
      <c r="P300" s="722"/>
      <c r="AC300" s="491"/>
    </row>
    <row r="301" spans="16:29">
      <c r="P301" s="722"/>
      <c r="AC301" s="491"/>
    </row>
    <row r="302" spans="16:29">
      <c r="P302" s="722"/>
      <c r="AC302" s="491"/>
    </row>
    <row r="303" spans="16:29">
      <c r="P303" s="722"/>
      <c r="AC303" s="491"/>
    </row>
    <row r="304" spans="16:29">
      <c r="P304" s="722"/>
      <c r="AC304" s="491"/>
    </row>
    <row r="305" spans="16:29">
      <c r="P305" s="722"/>
      <c r="AC305" s="491"/>
    </row>
    <row r="306" spans="16:29">
      <c r="P306" s="722"/>
      <c r="AC306" s="491"/>
    </row>
    <row r="307" spans="16:29">
      <c r="P307" s="722"/>
      <c r="AC307" s="491"/>
    </row>
    <row r="308" spans="16:29">
      <c r="P308" s="722"/>
      <c r="AC308" s="491"/>
    </row>
    <row r="309" spans="16:29">
      <c r="P309" s="722"/>
      <c r="AC309" s="491"/>
    </row>
    <row r="310" spans="16:29">
      <c r="P310" s="722"/>
      <c r="AC310" s="491"/>
    </row>
    <row r="311" spans="16:29">
      <c r="P311" s="722"/>
      <c r="AC311" s="491"/>
    </row>
    <row r="312" spans="16:29">
      <c r="P312" s="722"/>
      <c r="AC312" s="491"/>
    </row>
    <row r="313" spans="16:29">
      <c r="P313" s="722"/>
      <c r="AC313" s="491"/>
    </row>
    <row r="314" spans="16:29">
      <c r="P314" s="722"/>
      <c r="AC314" s="491"/>
    </row>
    <row r="315" spans="16:29">
      <c r="P315" s="722"/>
      <c r="AC315" s="491"/>
    </row>
    <row r="316" spans="16:29">
      <c r="P316" s="722"/>
      <c r="AC316" s="491"/>
    </row>
    <row r="317" spans="16:29">
      <c r="P317" s="722"/>
      <c r="AC317" s="491"/>
    </row>
    <row r="318" spans="16:29">
      <c r="P318" s="722"/>
      <c r="AC318" s="491"/>
    </row>
    <row r="319" spans="16:29">
      <c r="P319" s="722"/>
      <c r="AC319" s="491"/>
    </row>
    <row r="320" spans="16:29">
      <c r="P320" s="722"/>
      <c r="AC320" s="491"/>
    </row>
    <row r="321" spans="16:29">
      <c r="P321" s="722"/>
      <c r="AC321" s="491"/>
    </row>
    <row r="322" spans="16:29">
      <c r="P322" s="722"/>
      <c r="AC322" s="491"/>
    </row>
    <row r="323" spans="16:29">
      <c r="P323" s="722"/>
      <c r="AC323" s="491"/>
    </row>
    <row r="324" spans="16:29">
      <c r="P324" s="722"/>
      <c r="AC324" s="491"/>
    </row>
    <row r="325" spans="16:29">
      <c r="P325" s="722"/>
      <c r="AC325" s="491"/>
    </row>
    <row r="326" spans="16:29">
      <c r="P326" s="722"/>
      <c r="AC326" s="491"/>
    </row>
    <row r="327" spans="16:29">
      <c r="P327" s="722"/>
      <c r="AC327" s="491"/>
    </row>
    <row r="328" spans="16:29">
      <c r="P328" s="722"/>
      <c r="AC328" s="491"/>
    </row>
    <row r="329" spans="16:29">
      <c r="P329" s="722"/>
      <c r="AC329" s="491"/>
    </row>
    <row r="330" spans="16:29">
      <c r="P330" s="722"/>
      <c r="AC330" s="491"/>
    </row>
    <row r="331" spans="16:29">
      <c r="P331" s="722"/>
      <c r="AC331" s="491"/>
    </row>
    <row r="332" spans="16:29">
      <c r="P332" s="722"/>
      <c r="AC332" s="491"/>
    </row>
    <row r="333" spans="16:29">
      <c r="P333" s="722"/>
      <c r="AC333" s="491"/>
    </row>
    <row r="334" spans="16:29">
      <c r="P334" s="722"/>
      <c r="AC334" s="491"/>
    </row>
    <row r="335" spans="16:29">
      <c r="P335" s="722"/>
      <c r="AC335" s="491"/>
    </row>
    <row r="336" spans="16:29">
      <c r="P336" s="722"/>
      <c r="AC336" s="491"/>
    </row>
    <row r="337" spans="16:29">
      <c r="P337" s="722"/>
      <c r="AC337" s="491"/>
    </row>
    <row r="338" spans="16:29">
      <c r="P338" s="722"/>
      <c r="AC338" s="491"/>
    </row>
    <row r="339" spans="16:29">
      <c r="P339" s="722"/>
      <c r="AC339" s="491"/>
    </row>
    <row r="340" spans="16:29">
      <c r="P340" s="722"/>
      <c r="AC340" s="491"/>
    </row>
    <row r="341" spans="16:29">
      <c r="P341" s="722"/>
      <c r="AC341" s="491"/>
    </row>
    <row r="342" spans="16:29">
      <c r="P342" s="722"/>
      <c r="AC342" s="491"/>
    </row>
    <row r="343" spans="16:29">
      <c r="P343" s="722"/>
      <c r="AC343" s="491"/>
    </row>
    <row r="344" spans="16:29">
      <c r="P344" s="722"/>
      <c r="AC344" s="491"/>
    </row>
    <row r="345" spans="16:29">
      <c r="P345" s="722"/>
      <c r="AC345" s="491"/>
    </row>
    <row r="346" spans="16:29">
      <c r="P346" s="722"/>
      <c r="AC346" s="491"/>
    </row>
    <row r="347" spans="16:29">
      <c r="P347" s="722"/>
      <c r="AC347" s="491"/>
    </row>
    <row r="348" spans="16:29">
      <c r="P348" s="722"/>
      <c r="AC348" s="491"/>
    </row>
    <row r="349" spans="16:29">
      <c r="P349" s="722"/>
      <c r="AC349" s="491"/>
    </row>
    <row r="350" spans="16:29">
      <c r="P350" s="722"/>
      <c r="AC350" s="491"/>
    </row>
    <row r="351" spans="16:29">
      <c r="P351" s="722"/>
      <c r="AC351" s="491"/>
    </row>
    <row r="352" spans="16:29">
      <c r="P352" s="722"/>
      <c r="AC352" s="491"/>
    </row>
    <row r="353" spans="16:29">
      <c r="P353" s="722"/>
      <c r="AC353" s="491"/>
    </row>
    <row r="354" spans="16:29">
      <c r="P354" s="722"/>
      <c r="AC354" s="491"/>
    </row>
    <row r="355" spans="16:29">
      <c r="P355" s="722"/>
      <c r="AC355" s="491"/>
    </row>
    <row r="356" spans="16:29">
      <c r="P356" s="722"/>
      <c r="AC356" s="491"/>
    </row>
    <row r="357" spans="16:29">
      <c r="P357" s="722"/>
      <c r="AC357" s="491"/>
    </row>
    <row r="358" spans="16:29">
      <c r="P358" s="722"/>
      <c r="AC358" s="491"/>
    </row>
    <row r="359" spans="16:29">
      <c r="P359" s="722"/>
      <c r="AC359" s="491"/>
    </row>
    <row r="360" spans="16:29">
      <c r="P360" s="722"/>
      <c r="AC360" s="491"/>
    </row>
    <row r="361" spans="16:29">
      <c r="P361" s="722"/>
      <c r="AC361" s="491"/>
    </row>
    <row r="362" spans="16:29">
      <c r="P362" s="722"/>
      <c r="AC362" s="491"/>
    </row>
    <row r="363" spans="16:29">
      <c r="P363" s="722"/>
      <c r="AC363" s="491"/>
    </row>
    <row r="364" spans="16:29">
      <c r="P364" s="722"/>
      <c r="AC364" s="491"/>
    </row>
    <row r="365" spans="16:29">
      <c r="P365" s="722"/>
      <c r="AC365" s="491"/>
    </row>
    <row r="366" spans="16:29">
      <c r="P366" s="722"/>
      <c r="AC366" s="491"/>
    </row>
    <row r="367" spans="16:29">
      <c r="P367" s="722"/>
      <c r="AC367" s="491"/>
    </row>
    <row r="368" spans="16:29">
      <c r="P368" s="722"/>
      <c r="AC368" s="491"/>
    </row>
    <row r="369" spans="16:29">
      <c r="P369" s="722"/>
      <c r="AC369" s="491"/>
    </row>
    <row r="370" spans="16:29">
      <c r="P370" s="722"/>
      <c r="AC370" s="491"/>
    </row>
    <row r="371" spans="16:29">
      <c r="P371" s="722"/>
      <c r="AC371" s="491"/>
    </row>
    <row r="372" spans="16:29">
      <c r="P372" s="722"/>
      <c r="AC372" s="491"/>
    </row>
    <row r="373" spans="16:29">
      <c r="P373" s="722"/>
      <c r="AC373" s="491"/>
    </row>
    <row r="374" spans="16:29">
      <c r="P374" s="722"/>
      <c r="AC374" s="491"/>
    </row>
    <row r="375" spans="16:29">
      <c r="P375" s="722"/>
    </row>
    <row r="376" spans="16:29">
      <c r="P376" s="722"/>
    </row>
    <row r="377" spans="16:29">
      <c r="P377" s="722"/>
    </row>
    <row r="378" spans="16:29">
      <c r="P378" s="722"/>
    </row>
    <row r="379" spans="16:29">
      <c r="P379" s="722"/>
    </row>
    <row r="380" spans="16:29">
      <c r="P380" s="722"/>
    </row>
    <row r="381" spans="16:29">
      <c r="P381" s="722"/>
    </row>
    <row r="382" spans="16:29">
      <c r="P382" s="722"/>
    </row>
    <row r="383" spans="16:29">
      <c r="P383" s="722"/>
    </row>
    <row r="384" spans="16:29">
      <c r="P384" s="722"/>
    </row>
    <row r="385" spans="16:16">
      <c r="P385" s="722"/>
    </row>
    <row r="386" spans="16:16">
      <c r="P386" s="722"/>
    </row>
    <row r="387" spans="16:16">
      <c r="P387" s="722"/>
    </row>
    <row r="388" spans="16:16">
      <c r="P388" s="722"/>
    </row>
    <row r="389" spans="16:16">
      <c r="P389" s="722"/>
    </row>
    <row r="390" spans="16:16">
      <c r="P390" s="722"/>
    </row>
    <row r="391" spans="16:16">
      <c r="P391" s="722"/>
    </row>
    <row r="392" spans="16:16">
      <c r="P392" s="722"/>
    </row>
    <row r="393" spans="16:16">
      <c r="P393" s="722"/>
    </row>
    <row r="394" spans="16:16">
      <c r="P394" s="722"/>
    </row>
    <row r="395" spans="16:16">
      <c r="P395" s="722"/>
    </row>
    <row r="396" spans="16:16">
      <c r="P396" s="722"/>
    </row>
    <row r="397" spans="16:16">
      <c r="P397" s="722"/>
    </row>
    <row r="398" spans="16:16">
      <c r="P398" s="722"/>
    </row>
    <row r="399" spans="16:16">
      <c r="P399" s="722"/>
    </row>
    <row r="400" spans="16:16">
      <c r="P400" s="722"/>
    </row>
    <row r="401" spans="16:16">
      <c r="P401" s="722"/>
    </row>
    <row r="402" spans="16:16">
      <c r="P402" s="722"/>
    </row>
    <row r="403" spans="16:16">
      <c r="P403" s="722"/>
    </row>
    <row r="404" spans="16:16">
      <c r="P404" s="722"/>
    </row>
    <row r="405" spans="16:16">
      <c r="P405" s="722"/>
    </row>
    <row r="406" spans="16:16">
      <c r="P406" s="722"/>
    </row>
    <row r="407" spans="16:16">
      <c r="P407" s="722"/>
    </row>
    <row r="408" spans="16:16">
      <c r="P408" s="722"/>
    </row>
    <row r="409" spans="16:16">
      <c r="P409" s="722"/>
    </row>
    <row r="410" spans="16:16">
      <c r="P410" s="722"/>
    </row>
    <row r="411" spans="16:16">
      <c r="P411" s="722"/>
    </row>
    <row r="412" spans="16:16">
      <c r="P412" s="722"/>
    </row>
    <row r="413" spans="16:16">
      <c r="P413" s="722"/>
    </row>
    <row r="414" spans="16:16">
      <c r="P414" s="722"/>
    </row>
    <row r="415" spans="16:16">
      <c r="P415" s="722"/>
    </row>
    <row r="416" spans="16:16">
      <c r="P416" s="722"/>
    </row>
    <row r="417" spans="16:16">
      <c r="P417" s="722"/>
    </row>
    <row r="418" spans="16:16">
      <c r="P418" s="722"/>
    </row>
    <row r="419" spans="16:16">
      <c r="P419" s="722"/>
    </row>
    <row r="420" spans="16:16">
      <c r="P420" s="722"/>
    </row>
    <row r="421" spans="16:16">
      <c r="P421" s="722"/>
    </row>
    <row r="422" spans="16:16">
      <c r="P422" s="722"/>
    </row>
    <row r="423" spans="16:16">
      <c r="P423" s="722"/>
    </row>
    <row r="424" spans="16:16">
      <c r="P424" s="722"/>
    </row>
    <row r="425" spans="16:16">
      <c r="P425" s="722"/>
    </row>
    <row r="426" spans="16:16">
      <c r="P426" s="722"/>
    </row>
    <row r="427" spans="16:16">
      <c r="P427" s="722"/>
    </row>
    <row r="428" spans="16:16">
      <c r="P428" s="722"/>
    </row>
    <row r="429" spans="16:16">
      <c r="P429" s="722"/>
    </row>
    <row r="430" spans="16:16">
      <c r="P430" s="722"/>
    </row>
    <row r="431" spans="16:16">
      <c r="P431" s="722"/>
    </row>
    <row r="432" spans="16:16">
      <c r="P432" s="722"/>
    </row>
    <row r="433" spans="16:16">
      <c r="P433" s="722"/>
    </row>
    <row r="434" spans="16:16">
      <c r="P434" s="722"/>
    </row>
    <row r="435" spans="16:16">
      <c r="P435" s="722"/>
    </row>
    <row r="436" spans="16:16">
      <c r="P436" s="722"/>
    </row>
    <row r="437" spans="16:16">
      <c r="P437" s="722"/>
    </row>
    <row r="438" spans="16:16">
      <c r="P438" s="722"/>
    </row>
    <row r="439" spans="16:16">
      <c r="P439" s="722"/>
    </row>
    <row r="440" spans="16:16">
      <c r="P440" s="722"/>
    </row>
    <row r="441" spans="16:16">
      <c r="P441" s="722"/>
    </row>
    <row r="442" spans="16:16">
      <c r="P442" s="722"/>
    </row>
    <row r="443" spans="16:16">
      <c r="P443" s="722"/>
    </row>
    <row r="444" spans="16:16">
      <c r="P444" s="722"/>
    </row>
    <row r="445" spans="16:16">
      <c r="P445" s="722"/>
    </row>
    <row r="446" spans="16:16">
      <c r="P446" s="722"/>
    </row>
    <row r="447" spans="16:16">
      <c r="P447" s="722"/>
    </row>
    <row r="448" spans="16:16">
      <c r="P448" s="722"/>
    </row>
    <row r="449" spans="16:16">
      <c r="P449" s="722"/>
    </row>
    <row r="450" spans="16:16">
      <c r="P450" s="722"/>
    </row>
  </sheetData>
  <autoFilter ref="A8:N249" xr:uid="{4A060075-9B07-4A3F-83EA-D6430E6E8C67}"/>
  <mergeCells count="26">
    <mergeCell ref="A5:A7"/>
    <mergeCell ref="B5:B7"/>
    <mergeCell ref="T5:T7"/>
    <mergeCell ref="Q5:Q7"/>
    <mergeCell ref="S5:S7"/>
    <mergeCell ref="C5:C7"/>
    <mergeCell ref="E5:E7"/>
    <mergeCell ref="K5:K7"/>
    <mergeCell ref="N5:N7"/>
    <mergeCell ref="P5:P7"/>
    <mergeCell ref="P127:P129"/>
    <mergeCell ref="P131:P132"/>
    <mergeCell ref="P226:P227"/>
    <mergeCell ref="A1:N1"/>
    <mergeCell ref="A2:N2"/>
    <mergeCell ref="A3:N3"/>
    <mergeCell ref="K4:N4"/>
    <mergeCell ref="G6:G7"/>
    <mergeCell ref="H6:H7"/>
    <mergeCell ref="G5:H5"/>
    <mergeCell ref="I5:I7"/>
    <mergeCell ref="J5:J7"/>
    <mergeCell ref="D5:D7"/>
    <mergeCell ref="L5:L7"/>
    <mergeCell ref="F5:F7"/>
    <mergeCell ref="M5:M7"/>
  </mergeCells>
  <phoneticPr fontId="111" type="noConversion"/>
  <printOptions horizontalCentered="1"/>
  <pageMargins left="0.39370078740157483" right="3.937007874015748E-2" top="0.39370078740157483" bottom="0.39370078740157483" header="0.31496062992125984" footer="0.31496062992125984"/>
  <pageSetup paperSize="9" scale="53" orientation="landscape"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3CBC-61B2-4002-BBF0-6888B190E56B}">
  <sheetPr>
    <tabColor rgb="FFFF0000"/>
  </sheetPr>
  <dimension ref="A1:AF327"/>
  <sheetViews>
    <sheetView zoomScale="70" zoomScaleNormal="70" zoomScaleSheetLayoutView="70" workbookViewId="0">
      <pane xSplit="2" ySplit="9" topLeftCell="C183" activePane="bottomRight" state="frozen"/>
      <selection pane="topRight" activeCell="C1" sqref="C1"/>
      <selection pane="bottomLeft" activeCell="A10" sqref="A10"/>
      <selection pane="bottomRight" activeCell="L186" sqref="L186"/>
    </sheetView>
  </sheetViews>
  <sheetFormatPr defaultColWidth="8.6640625" defaultRowHeight="15.6"/>
  <cols>
    <col min="1" max="1" width="8.44140625" style="11" customWidth="1"/>
    <col min="2" max="2" width="46.77734375" style="96" customWidth="1"/>
    <col min="3" max="3" width="20" style="5" customWidth="1"/>
    <col min="4" max="4" width="12.44140625" style="5" customWidth="1"/>
    <col min="5" max="5" width="17.33203125" style="4" customWidth="1"/>
    <col min="6" max="6" width="15.5546875" style="4" hidden="1" customWidth="1"/>
    <col min="7" max="7" width="15" style="23" hidden="1" customWidth="1"/>
    <col min="8" max="8" width="16.6640625" style="98" hidden="1" customWidth="1"/>
    <col min="9" max="9" width="15.44140625" style="98" hidden="1" customWidth="1"/>
    <col min="10" max="11" width="15.109375" style="98" hidden="1" customWidth="1"/>
    <col min="12" max="12" width="15.21875" style="543" customWidth="1"/>
    <col min="13" max="13" width="15.33203125" style="555" customWidth="1"/>
    <col min="14" max="14" width="15" style="702" customWidth="1"/>
    <col min="15" max="15" width="13.44140625" style="23" customWidth="1"/>
    <col min="16" max="16" width="14.5546875" style="23" customWidth="1"/>
    <col min="17" max="17" width="13.44140625" style="23" customWidth="1"/>
    <col min="18" max="18" width="15.77734375" style="516" customWidth="1"/>
    <col min="19" max="19" width="31.6640625" style="255" customWidth="1"/>
    <col min="20" max="20" width="10.77734375" style="313" customWidth="1"/>
    <col min="21" max="21" width="10.33203125" style="313" customWidth="1"/>
    <col min="22" max="22" width="10.5546875" style="596" customWidth="1"/>
    <col min="23" max="23" width="13.88671875" style="590" customWidth="1"/>
    <col min="24" max="26" width="8.6640625" style="4" customWidth="1"/>
    <col min="27" max="27" width="9.44140625" style="4" customWidth="1"/>
    <col min="28" max="28" width="11.6640625" style="4" customWidth="1"/>
    <col min="29" max="30" width="8.6640625" style="4" customWidth="1"/>
    <col min="31" max="31" width="8.6640625" style="4"/>
    <col min="32" max="32" width="12.33203125" style="4" hidden="1" customWidth="1"/>
    <col min="33" max="16384" width="8.6640625" style="4"/>
  </cols>
  <sheetData>
    <row r="1" spans="1:32" ht="20.399999999999999" customHeight="1">
      <c r="A1" s="824" t="s">
        <v>71</v>
      </c>
      <c r="B1" s="824"/>
      <c r="C1" s="824"/>
      <c r="D1" s="824"/>
      <c r="E1" s="824"/>
      <c r="F1" s="824"/>
      <c r="G1" s="824"/>
      <c r="H1" s="824"/>
      <c r="I1" s="824"/>
      <c r="J1" s="824"/>
      <c r="K1" s="824"/>
      <c r="L1" s="825"/>
      <c r="M1" s="824"/>
      <c r="N1" s="825"/>
      <c r="O1" s="824"/>
      <c r="P1" s="824"/>
      <c r="Q1" s="824"/>
      <c r="R1" s="824"/>
      <c r="S1" s="536"/>
      <c r="T1" s="16"/>
      <c r="U1" s="538"/>
      <c r="V1" s="589"/>
    </row>
    <row r="2" spans="1:32" ht="24" customHeight="1">
      <c r="A2" s="799" t="s">
        <v>496</v>
      </c>
      <c r="B2" s="799"/>
      <c r="C2" s="799"/>
      <c r="D2" s="799"/>
      <c r="E2" s="799"/>
      <c r="F2" s="799"/>
      <c r="G2" s="799"/>
      <c r="H2" s="799"/>
      <c r="I2" s="799"/>
      <c r="J2" s="799"/>
      <c r="K2" s="799"/>
      <c r="L2" s="826"/>
      <c r="M2" s="799"/>
      <c r="N2" s="826"/>
      <c r="O2" s="799"/>
      <c r="P2" s="799"/>
      <c r="Q2" s="799"/>
      <c r="R2" s="799"/>
      <c r="S2" s="519"/>
      <c r="T2" s="39"/>
      <c r="U2" s="39"/>
      <c r="V2" s="591"/>
    </row>
    <row r="3" spans="1:32" ht="24.6" customHeight="1">
      <c r="A3" s="827" t="s">
        <v>597</v>
      </c>
      <c r="B3" s="827"/>
      <c r="C3" s="827"/>
      <c r="D3" s="827"/>
      <c r="E3" s="827"/>
      <c r="F3" s="827"/>
      <c r="G3" s="827"/>
      <c r="H3" s="827"/>
      <c r="I3" s="827"/>
      <c r="J3" s="827"/>
      <c r="K3" s="827"/>
      <c r="L3" s="828"/>
      <c r="M3" s="827"/>
      <c r="N3" s="828"/>
      <c r="O3" s="827"/>
      <c r="P3" s="827"/>
      <c r="Q3" s="827"/>
      <c r="R3" s="827"/>
      <c r="S3" s="537"/>
      <c r="T3" s="386"/>
      <c r="U3" s="539"/>
      <c r="V3" s="592"/>
      <c r="W3" s="590">
        <f>E186+E188+E189+E190</f>
        <v>3759.5999999999995</v>
      </c>
    </row>
    <row r="4" spans="1:32" s="23" customFormat="1" ht="23.4" customHeight="1">
      <c r="A4" s="387"/>
      <c r="B4" s="388"/>
      <c r="C4" s="387"/>
      <c r="D4" s="387"/>
      <c r="G4" s="314"/>
      <c r="H4" s="542"/>
      <c r="I4" s="542"/>
      <c r="J4" s="542"/>
      <c r="K4" s="98"/>
      <c r="L4" s="543"/>
      <c r="M4" s="543"/>
      <c r="N4" s="829"/>
      <c r="O4" s="829"/>
      <c r="P4" s="829"/>
      <c r="Q4" s="829"/>
      <c r="R4" s="829"/>
      <c r="S4" s="429"/>
      <c r="T4" s="389"/>
      <c r="U4" s="389"/>
      <c r="V4" s="593"/>
      <c r="W4" s="703"/>
    </row>
    <row r="5" spans="1:32" s="11" customFormat="1" ht="24" customHeight="1">
      <c r="A5" s="833" t="s">
        <v>0</v>
      </c>
      <c r="B5" s="833" t="s">
        <v>1</v>
      </c>
      <c r="C5" s="833" t="s">
        <v>128</v>
      </c>
      <c r="D5" s="833" t="s">
        <v>142</v>
      </c>
      <c r="E5" s="853" t="s">
        <v>3</v>
      </c>
      <c r="F5" s="853" t="s">
        <v>28</v>
      </c>
      <c r="G5" s="853"/>
      <c r="H5" s="839" t="s">
        <v>412</v>
      </c>
      <c r="I5" s="856" t="s">
        <v>413</v>
      </c>
      <c r="J5" s="856" t="s">
        <v>414</v>
      </c>
      <c r="K5" s="839" t="s">
        <v>415</v>
      </c>
      <c r="L5" s="854" t="s">
        <v>495</v>
      </c>
      <c r="M5" s="798" t="s">
        <v>631</v>
      </c>
      <c r="N5" s="805" t="s">
        <v>632</v>
      </c>
      <c r="O5" s="798" t="s">
        <v>633</v>
      </c>
      <c r="P5" s="834" t="s">
        <v>551</v>
      </c>
      <c r="Q5" s="798" t="s">
        <v>553</v>
      </c>
      <c r="R5" s="845" t="s">
        <v>2</v>
      </c>
      <c r="S5" s="855" t="s">
        <v>30</v>
      </c>
      <c r="T5" s="839" t="s">
        <v>314</v>
      </c>
      <c r="U5" s="839" t="s">
        <v>315</v>
      </c>
      <c r="V5" s="852" t="s">
        <v>582</v>
      </c>
      <c r="W5" s="594"/>
    </row>
    <row r="6" spans="1:32" s="11" customFormat="1" ht="16.2" customHeight="1">
      <c r="A6" s="833"/>
      <c r="B6" s="833"/>
      <c r="C6" s="833"/>
      <c r="D6" s="833"/>
      <c r="E6" s="853"/>
      <c r="F6" s="853" t="s">
        <v>57</v>
      </c>
      <c r="G6" s="831" t="s">
        <v>58</v>
      </c>
      <c r="H6" s="840"/>
      <c r="I6" s="857"/>
      <c r="J6" s="857"/>
      <c r="K6" s="840"/>
      <c r="L6" s="854"/>
      <c r="M6" s="798"/>
      <c r="N6" s="805"/>
      <c r="O6" s="798"/>
      <c r="P6" s="835"/>
      <c r="Q6" s="798"/>
      <c r="R6" s="845"/>
      <c r="S6" s="855"/>
      <c r="T6" s="840"/>
      <c r="U6" s="840"/>
      <c r="V6" s="852"/>
      <c r="W6" s="594"/>
    </row>
    <row r="7" spans="1:32" s="11" customFormat="1" ht="28.8" customHeight="1">
      <c r="A7" s="833"/>
      <c r="B7" s="833"/>
      <c r="C7" s="833"/>
      <c r="D7" s="833"/>
      <c r="E7" s="853"/>
      <c r="F7" s="853"/>
      <c r="G7" s="831"/>
      <c r="H7" s="841"/>
      <c r="I7" s="858"/>
      <c r="J7" s="858"/>
      <c r="K7" s="841"/>
      <c r="L7" s="854"/>
      <c r="M7" s="798"/>
      <c r="N7" s="805"/>
      <c r="O7" s="798"/>
      <c r="P7" s="836"/>
      <c r="Q7" s="798"/>
      <c r="R7" s="845"/>
      <c r="S7" s="855"/>
      <c r="T7" s="841"/>
      <c r="U7" s="841"/>
      <c r="V7" s="852"/>
      <c r="W7" s="594"/>
    </row>
    <row r="8" spans="1:32" s="16" customFormat="1" ht="25.2" customHeight="1">
      <c r="A8" s="393"/>
      <c r="B8" s="263" t="s">
        <v>163</v>
      </c>
      <c r="C8" s="227"/>
      <c r="D8" s="263"/>
      <c r="E8" s="430">
        <f t="shared" ref="E8:P8" si="0">E9+E211+E215</f>
        <v>412315.24600000004</v>
      </c>
      <c r="F8" s="430">
        <f t="shared" si="0"/>
        <v>1200</v>
      </c>
      <c r="G8" s="430">
        <f t="shared" si="0"/>
        <v>148194.06</v>
      </c>
      <c r="H8" s="430">
        <f t="shared" si="0"/>
        <v>34580.3485</v>
      </c>
      <c r="I8" s="430">
        <f t="shared" si="0"/>
        <v>10856.1795</v>
      </c>
      <c r="J8" s="430">
        <f t="shared" si="0"/>
        <v>23724.168999999998</v>
      </c>
      <c r="K8" s="430">
        <f t="shared" si="0"/>
        <v>2805.0611514836387</v>
      </c>
      <c r="L8" s="430">
        <f t="shared" si="0"/>
        <v>119582.4715</v>
      </c>
      <c r="M8" s="430">
        <f t="shared" si="0"/>
        <v>101173.45068000001</v>
      </c>
      <c r="N8" s="699">
        <f t="shared" si="0"/>
        <v>99256.350979999988</v>
      </c>
      <c r="O8" s="544">
        <f t="shared" ref="O8:O72" si="1">N8/L8*100</f>
        <v>83.002424799356973</v>
      </c>
      <c r="P8" s="699">
        <f t="shared" si="0"/>
        <v>118017.81450000001</v>
      </c>
      <c r="Q8" s="488">
        <f t="shared" ref="Q8:Q39" si="2">P8/L8*100</f>
        <v>98.691566598036076</v>
      </c>
      <c r="R8" s="506"/>
      <c r="S8" s="396"/>
      <c r="T8" s="396"/>
      <c r="U8" s="396"/>
      <c r="V8" s="595">
        <f t="shared" ref="V8:V39" si="3">L8-N8</f>
        <v>20326.120520000011</v>
      </c>
      <c r="W8" s="589">
        <f t="shared" ref="W8:W39" si="4">M8-N8</f>
        <v>1917.0997000000207</v>
      </c>
      <c r="AF8" s="598">
        <f t="shared" ref="AF8:AF71" si="5">L8-P8</f>
        <v>1564.656999999992</v>
      </c>
    </row>
    <row r="9" spans="1:32" s="16" customFormat="1" ht="25.2" customHeight="1">
      <c r="A9" s="393" t="s">
        <v>13</v>
      </c>
      <c r="B9" s="225" t="s">
        <v>507</v>
      </c>
      <c r="C9" s="227"/>
      <c r="D9" s="263"/>
      <c r="E9" s="430">
        <f>E10+E51+E106</f>
        <v>350030.96</v>
      </c>
      <c r="F9" s="430">
        <f t="shared" ref="F9:L9" si="6">F10+F51+F106</f>
        <v>1200</v>
      </c>
      <c r="G9" s="430">
        <f t="shared" si="6"/>
        <v>148194.06</v>
      </c>
      <c r="H9" s="430">
        <f t="shared" si="6"/>
        <v>34580.3485</v>
      </c>
      <c r="I9" s="430">
        <f t="shared" si="6"/>
        <v>10856.1795</v>
      </c>
      <c r="J9" s="430">
        <f t="shared" si="6"/>
        <v>23724.168999999998</v>
      </c>
      <c r="K9" s="430">
        <f t="shared" si="6"/>
        <v>2805.0611514836387</v>
      </c>
      <c r="L9" s="430">
        <f t="shared" si="6"/>
        <v>113613.7115</v>
      </c>
      <c r="M9" s="430">
        <f t="shared" ref="M9:N9" si="7">M10+M51+M106</f>
        <v>97792.855680000008</v>
      </c>
      <c r="N9" s="699">
        <f t="shared" si="7"/>
        <v>95875.755979999987</v>
      </c>
      <c r="O9" s="544">
        <f t="shared" si="1"/>
        <v>84.387486962786156</v>
      </c>
      <c r="P9" s="430">
        <v>113613.7115</v>
      </c>
      <c r="Q9" s="488">
        <f t="shared" si="2"/>
        <v>100</v>
      </c>
      <c r="R9" s="506"/>
      <c r="S9" s="396"/>
      <c r="T9" s="396"/>
      <c r="U9" s="396"/>
      <c r="V9" s="595">
        <f t="shared" si="3"/>
        <v>17737.955520000018</v>
      </c>
      <c r="W9" s="589">
        <f t="shared" si="4"/>
        <v>1917.0997000000207</v>
      </c>
      <c r="AF9" s="598">
        <f t="shared" si="5"/>
        <v>0</v>
      </c>
    </row>
    <row r="10" spans="1:32" s="254" customFormat="1" ht="42" customHeight="1">
      <c r="A10" s="393" t="s">
        <v>504</v>
      </c>
      <c r="B10" s="431" t="s">
        <v>416</v>
      </c>
      <c r="C10" s="252"/>
      <c r="D10" s="252"/>
      <c r="E10" s="430">
        <f>E11+E14+E16+E20+E24+E27+E31+E35+E39+E42+E45+E49</f>
        <v>25368.459999999995</v>
      </c>
      <c r="F10" s="430">
        <f t="shared" ref="F10:P10" si="8">F11+F14+F16+F20+F24+F27+F31+F35+F39+F42+F45+F49</f>
        <v>0</v>
      </c>
      <c r="G10" s="430">
        <f t="shared" si="8"/>
        <v>22434.059999999998</v>
      </c>
      <c r="H10" s="430">
        <f t="shared" si="8"/>
        <v>8335.0685000000012</v>
      </c>
      <c r="I10" s="430">
        <f t="shared" si="8"/>
        <v>5038.1414999999997</v>
      </c>
      <c r="J10" s="430">
        <f t="shared" si="8"/>
        <v>3296.9269999999997</v>
      </c>
      <c r="K10" s="430">
        <f t="shared" si="8"/>
        <v>973.3776113166366</v>
      </c>
      <c r="L10" s="661">
        <f t="shared" si="8"/>
        <v>14098.9915</v>
      </c>
      <c r="M10" s="430">
        <f t="shared" si="8"/>
        <v>12470.4148</v>
      </c>
      <c r="N10" s="699">
        <f t="shared" si="8"/>
        <v>12097.009799999998</v>
      </c>
      <c r="O10" s="544">
        <f t="shared" si="1"/>
        <v>85.800532612563089</v>
      </c>
      <c r="P10" s="699">
        <f t="shared" si="8"/>
        <v>14098.991500000002</v>
      </c>
      <c r="Q10" s="488">
        <f t="shared" si="2"/>
        <v>100.00000000000003</v>
      </c>
      <c r="R10" s="443" t="s">
        <v>417</v>
      </c>
      <c r="S10" s="253"/>
      <c r="T10" s="253"/>
      <c r="U10" s="253"/>
      <c r="V10" s="595">
        <f t="shared" si="3"/>
        <v>2001.9817000000021</v>
      </c>
      <c r="W10" s="589">
        <f t="shared" si="4"/>
        <v>373.40500000000247</v>
      </c>
      <c r="AF10" s="598">
        <f t="shared" si="5"/>
        <v>0</v>
      </c>
    </row>
    <row r="11" spans="1:32" s="196" customFormat="1">
      <c r="A11" s="264">
        <v>1</v>
      </c>
      <c r="B11" s="225" t="s">
        <v>418</v>
      </c>
      <c r="C11" s="252"/>
      <c r="D11" s="263"/>
      <c r="E11" s="336">
        <f>SUM(E12:E13)</f>
        <v>2267.06</v>
      </c>
      <c r="F11" s="336">
        <f t="shared" ref="F11:N11" si="9">SUM(F12:F13)</f>
        <v>0</v>
      </c>
      <c r="G11" s="336">
        <f t="shared" si="9"/>
        <v>1512.6599999999999</v>
      </c>
      <c r="H11" s="336">
        <f t="shared" si="9"/>
        <v>417.57</v>
      </c>
      <c r="I11" s="336">
        <f t="shared" si="9"/>
        <v>118.09</v>
      </c>
      <c r="J11" s="336">
        <f t="shared" si="9"/>
        <v>299.48</v>
      </c>
      <c r="K11" s="336">
        <f t="shared" si="9"/>
        <v>70.323613486315949</v>
      </c>
      <c r="L11" s="662">
        <f t="shared" si="9"/>
        <v>1095.0899999999999</v>
      </c>
      <c r="M11" s="336">
        <f t="shared" si="9"/>
        <v>998.77099999999996</v>
      </c>
      <c r="N11" s="663">
        <f t="shared" si="9"/>
        <v>840.34899999999993</v>
      </c>
      <c r="O11" s="544">
        <f t="shared" si="1"/>
        <v>76.737893689103174</v>
      </c>
      <c r="P11" s="430">
        <v>1095.0899999999999</v>
      </c>
      <c r="Q11" s="488">
        <f t="shared" si="2"/>
        <v>100</v>
      </c>
      <c r="R11" s="174"/>
      <c r="S11" s="253"/>
      <c r="T11" s="253"/>
      <c r="U11" s="253"/>
      <c r="V11" s="595">
        <f t="shared" si="3"/>
        <v>254.74099999999999</v>
      </c>
      <c r="W11" s="589">
        <f t="shared" si="4"/>
        <v>158.42200000000003</v>
      </c>
      <c r="AF11" s="598">
        <f t="shared" si="5"/>
        <v>0</v>
      </c>
    </row>
    <row r="12" spans="1:32">
      <c r="A12" s="270" t="s">
        <v>35</v>
      </c>
      <c r="B12" s="337" t="s">
        <v>419</v>
      </c>
      <c r="C12" s="227" t="s">
        <v>175</v>
      </c>
      <c r="D12" s="402">
        <v>7998829</v>
      </c>
      <c r="E12" s="338">
        <v>1000</v>
      </c>
      <c r="F12" s="221"/>
      <c r="G12" s="338">
        <v>950</v>
      </c>
      <c r="H12" s="221">
        <v>53.680999999999997</v>
      </c>
      <c r="I12" s="540">
        <v>53.680999999999997</v>
      </c>
      <c r="J12" s="540">
        <v>0</v>
      </c>
      <c r="K12" s="545">
        <v>5.650631578947368</v>
      </c>
      <c r="L12" s="534">
        <v>896.31899999999996</v>
      </c>
      <c r="M12" s="273">
        <v>800</v>
      </c>
      <c r="N12" s="664">
        <v>641.57799999999997</v>
      </c>
      <c r="O12" s="546">
        <f t="shared" si="1"/>
        <v>71.579203386294381</v>
      </c>
      <c r="P12" s="540">
        <v>896.31899999999996</v>
      </c>
      <c r="Q12" s="489">
        <f t="shared" si="2"/>
        <v>100</v>
      </c>
      <c r="R12" s="443"/>
      <c r="T12" s="255"/>
      <c r="U12" s="255"/>
      <c r="V12" s="595">
        <f t="shared" si="3"/>
        <v>254.74099999999999</v>
      </c>
      <c r="W12" s="589">
        <f t="shared" si="4"/>
        <v>158.42200000000003</v>
      </c>
      <c r="AF12" s="598">
        <f t="shared" si="5"/>
        <v>0</v>
      </c>
    </row>
    <row r="13" spans="1:32">
      <c r="A13" s="270" t="s">
        <v>35</v>
      </c>
      <c r="B13" s="337" t="s">
        <v>176</v>
      </c>
      <c r="C13" s="227" t="s">
        <v>175</v>
      </c>
      <c r="D13" s="402">
        <v>7998828</v>
      </c>
      <c r="E13" s="338">
        <v>1267.06</v>
      </c>
      <c r="F13" s="221"/>
      <c r="G13" s="338">
        <v>562.66</v>
      </c>
      <c r="H13" s="221">
        <v>363.88900000000001</v>
      </c>
      <c r="I13" s="540">
        <v>64.409000000000006</v>
      </c>
      <c r="J13" s="540">
        <v>299.48</v>
      </c>
      <c r="K13" s="545">
        <v>64.67298190736858</v>
      </c>
      <c r="L13" s="534">
        <v>198.77099999999996</v>
      </c>
      <c r="M13" s="273">
        <f>N13</f>
        <v>198.77100000000002</v>
      </c>
      <c r="N13" s="664">
        <f>155.108+43.663</f>
        <v>198.77100000000002</v>
      </c>
      <c r="O13" s="546">
        <f t="shared" si="1"/>
        <v>100.00000000000003</v>
      </c>
      <c r="P13" s="540">
        <v>198.77099999999996</v>
      </c>
      <c r="Q13" s="489">
        <f t="shared" si="2"/>
        <v>100</v>
      </c>
      <c r="R13" s="443"/>
      <c r="T13" s="255"/>
      <c r="U13" s="255"/>
      <c r="V13" s="595">
        <f t="shared" si="3"/>
        <v>0</v>
      </c>
      <c r="W13" s="589">
        <f t="shared" si="4"/>
        <v>0</v>
      </c>
      <c r="AF13" s="598">
        <f t="shared" si="5"/>
        <v>0</v>
      </c>
    </row>
    <row r="14" spans="1:32" s="196" customFormat="1">
      <c r="A14" s="264">
        <v>2</v>
      </c>
      <c r="B14" s="225" t="s">
        <v>420</v>
      </c>
      <c r="C14" s="263"/>
      <c r="D14" s="225"/>
      <c r="E14" s="336">
        <f>E15</f>
        <v>1143</v>
      </c>
      <c r="F14" s="336">
        <f t="shared" ref="F14:N14" si="10">F15</f>
        <v>0</v>
      </c>
      <c r="G14" s="336">
        <f t="shared" si="10"/>
        <v>705.4</v>
      </c>
      <c r="H14" s="336">
        <f t="shared" si="10"/>
        <v>71.924000000000007</v>
      </c>
      <c r="I14" s="336">
        <f t="shared" si="10"/>
        <v>71.924000000000007</v>
      </c>
      <c r="J14" s="336">
        <f t="shared" si="10"/>
        <v>0</v>
      </c>
      <c r="K14" s="336">
        <f t="shared" si="10"/>
        <v>10.1962007371704</v>
      </c>
      <c r="L14" s="662">
        <f t="shared" si="10"/>
        <v>633.476</v>
      </c>
      <c r="M14" s="336">
        <f t="shared" si="10"/>
        <v>633.476</v>
      </c>
      <c r="N14" s="663">
        <f t="shared" si="10"/>
        <v>633.476</v>
      </c>
      <c r="O14" s="544">
        <f t="shared" si="1"/>
        <v>100</v>
      </c>
      <c r="P14" s="430">
        <v>633.476</v>
      </c>
      <c r="Q14" s="488">
        <f t="shared" si="2"/>
        <v>100</v>
      </c>
      <c r="R14" s="174"/>
      <c r="S14" s="253"/>
      <c r="T14" s="253"/>
      <c r="U14" s="253"/>
      <c r="V14" s="595">
        <f t="shared" si="3"/>
        <v>0</v>
      </c>
      <c r="W14" s="589">
        <f t="shared" si="4"/>
        <v>0</v>
      </c>
      <c r="AF14" s="598">
        <f t="shared" si="5"/>
        <v>0</v>
      </c>
    </row>
    <row r="15" spans="1:32" ht="31.2">
      <c r="A15" s="271" t="s">
        <v>35</v>
      </c>
      <c r="B15" s="337" t="s">
        <v>177</v>
      </c>
      <c r="C15" s="227" t="s">
        <v>134</v>
      </c>
      <c r="D15" s="402">
        <v>8003777</v>
      </c>
      <c r="E15" s="338">
        <v>1143</v>
      </c>
      <c r="F15" s="221"/>
      <c r="G15" s="338">
        <v>705.4</v>
      </c>
      <c r="H15" s="273">
        <v>71.924000000000007</v>
      </c>
      <c r="I15" s="540">
        <v>71.924000000000007</v>
      </c>
      <c r="J15" s="540">
        <v>0</v>
      </c>
      <c r="K15" s="545">
        <v>10.1962007371704</v>
      </c>
      <c r="L15" s="534">
        <v>633.476</v>
      </c>
      <c r="M15" s="273">
        <f>L15</f>
        <v>633.476</v>
      </c>
      <c r="N15" s="664">
        <f>L15</f>
        <v>633.476</v>
      </c>
      <c r="O15" s="546">
        <f t="shared" si="1"/>
        <v>100</v>
      </c>
      <c r="P15" s="540">
        <v>633.476</v>
      </c>
      <c r="Q15" s="489">
        <f t="shared" si="2"/>
        <v>100</v>
      </c>
      <c r="R15" s="443"/>
      <c r="T15" s="255"/>
      <c r="U15" s="255"/>
      <c r="V15" s="595">
        <f t="shared" si="3"/>
        <v>0</v>
      </c>
      <c r="W15" s="589">
        <f t="shared" si="4"/>
        <v>0</v>
      </c>
      <c r="AF15" s="598">
        <f t="shared" si="5"/>
        <v>0</v>
      </c>
    </row>
    <row r="16" spans="1:32" s="196" customFormat="1">
      <c r="A16" s="272">
        <v>3</v>
      </c>
      <c r="B16" s="225" t="s">
        <v>421</v>
      </c>
      <c r="C16" s="263"/>
      <c r="D16" s="225"/>
      <c r="E16" s="336">
        <f>SUM(E17:E19)</f>
        <v>2474.6</v>
      </c>
      <c r="F16" s="336">
        <f t="shared" ref="F16:N16" si="11">SUM(F17:F19)</f>
        <v>0</v>
      </c>
      <c r="G16" s="336">
        <f t="shared" si="11"/>
        <v>2021.6</v>
      </c>
      <c r="H16" s="336">
        <f t="shared" si="11"/>
        <v>751.56999999999994</v>
      </c>
      <c r="I16" s="336">
        <f t="shared" si="11"/>
        <v>142.10499999999999</v>
      </c>
      <c r="J16" s="336">
        <f t="shared" si="11"/>
        <v>609.46499999999992</v>
      </c>
      <c r="K16" s="336">
        <f t="shared" si="11"/>
        <v>112.60983526383527</v>
      </c>
      <c r="L16" s="662">
        <f t="shared" si="11"/>
        <v>1236.644</v>
      </c>
      <c r="M16" s="336">
        <f t="shared" si="11"/>
        <v>1196.1570000000002</v>
      </c>
      <c r="N16" s="663">
        <f t="shared" si="11"/>
        <v>1196.1570000000002</v>
      </c>
      <c r="O16" s="544">
        <f t="shared" si="1"/>
        <v>96.726058590831315</v>
      </c>
      <c r="P16" s="430">
        <v>1270.03</v>
      </c>
      <c r="Q16" s="488">
        <f t="shared" si="2"/>
        <v>102.69972603271434</v>
      </c>
      <c r="R16" s="174"/>
      <c r="S16" s="253"/>
      <c r="T16" s="253"/>
      <c r="U16" s="253"/>
      <c r="V16" s="595">
        <f t="shared" si="3"/>
        <v>40.486999999999853</v>
      </c>
      <c r="W16" s="589">
        <f t="shared" si="4"/>
        <v>0</v>
      </c>
      <c r="AF16" s="598">
        <f t="shared" si="5"/>
        <v>-33.385999999999967</v>
      </c>
    </row>
    <row r="17" spans="1:32" ht="31.2">
      <c r="A17" s="270" t="s">
        <v>35</v>
      </c>
      <c r="B17" s="337" t="s">
        <v>422</v>
      </c>
      <c r="C17" s="227" t="s">
        <v>178</v>
      </c>
      <c r="D17" s="402">
        <v>7994169</v>
      </c>
      <c r="E17" s="338">
        <v>527</v>
      </c>
      <c r="F17" s="221"/>
      <c r="G17" s="547">
        <v>500</v>
      </c>
      <c r="H17" s="221">
        <v>155.23500000000001</v>
      </c>
      <c r="I17" s="540">
        <v>27.516999999999999</v>
      </c>
      <c r="J17" s="540">
        <v>127.71800000000002</v>
      </c>
      <c r="K17" s="545">
        <v>31.047000000000004</v>
      </c>
      <c r="L17" s="534">
        <f>344.765-18.399</f>
        <v>326.36599999999999</v>
      </c>
      <c r="M17" s="273">
        <f>N17</f>
        <v>311.91800000000001</v>
      </c>
      <c r="N17" s="664">
        <v>311.91800000000001</v>
      </c>
      <c r="O17" s="546">
        <f t="shared" si="1"/>
        <v>95.573068273043148</v>
      </c>
      <c r="P17" s="540">
        <v>344.76499999999999</v>
      </c>
      <c r="Q17" s="489">
        <f t="shared" si="2"/>
        <v>105.63753577272141</v>
      </c>
      <c r="R17" s="443"/>
      <c r="S17" s="732" t="s">
        <v>634</v>
      </c>
      <c r="T17" s="255"/>
      <c r="U17" s="255"/>
      <c r="V17" s="595">
        <f t="shared" si="3"/>
        <v>14.447999999999979</v>
      </c>
      <c r="W17" s="589">
        <f t="shared" si="4"/>
        <v>0</v>
      </c>
      <c r="AF17" s="598">
        <f t="shared" si="5"/>
        <v>-18.399000000000001</v>
      </c>
    </row>
    <row r="18" spans="1:32">
      <c r="A18" s="270" t="s">
        <v>35</v>
      </c>
      <c r="B18" s="337" t="s">
        <v>423</v>
      </c>
      <c r="C18" s="227" t="s">
        <v>178</v>
      </c>
      <c r="D18" s="402">
        <v>7994170</v>
      </c>
      <c r="E18" s="338">
        <v>999.6</v>
      </c>
      <c r="F18" s="221"/>
      <c r="G18" s="547">
        <v>621.6</v>
      </c>
      <c r="H18" s="221">
        <v>307.51900000000001</v>
      </c>
      <c r="I18" s="540">
        <v>59.222000000000001</v>
      </c>
      <c r="J18" s="540">
        <v>248.297</v>
      </c>
      <c r="K18" s="545">
        <v>49.472168597168597</v>
      </c>
      <c r="L18" s="534">
        <v>314.08100000000002</v>
      </c>
      <c r="M18" s="273">
        <f>N18</f>
        <v>314.08100000000002</v>
      </c>
      <c r="N18" s="664">
        <f>L18</f>
        <v>314.08100000000002</v>
      </c>
      <c r="O18" s="546">
        <f t="shared" si="1"/>
        <v>100</v>
      </c>
      <c r="P18" s="540">
        <v>314.08100000000002</v>
      </c>
      <c r="Q18" s="489">
        <f t="shared" si="2"/>
        <v>100</v>
      </c>
      <c r="R18" s="443"/>
      <c r="S18" s="227"/>
      <c r="T18" s="255"/>
      <c r="U18" s="255"/>
      <c r="V18" s="595">
        <f t="shared" si="3"/>
        <v>0</v>
      </c>
      <c r="W18" s="589">
        <f t="shared" si="4"/>
        <v>0</v>
      </c>
      <c r="AF18" s="598">
        <f t="shared" si="5"/>
        <v>0</v>
      </c>
    </row>
    <row r="19" spans="1:32" ht="31.2">
      <c r="A19" s="270" t="s">
        <v>35</v>
      </c>
      <c r="B19" s="337" t="s">
        <v>424</v>
      </c>
      <c r="C19" s="227" t="s">
        <v>178</v>
      </c>
      <c r="D19" s="402">
        <v>7994168</v>
      </c>
      <c r="E19" s="338">
        <v>948</v>
      </c>
      <c r="F19" s="221"/>
      <c r="G19" s="547">
        <v>900</v>
      </c>
      <c r="H19" s="273">
        <v>288.81599999999997</v>
      </c>
      <c r="I19" s="540">
        <v>55.365999999999985</v>
      </c>
      <c r="J19" s="540">
        <v>233.45</v>
      </c>
      <c r="K19" s="545">
        <v>32.090666666666664</v>
      </c>
      <c r="L19" s="534">
        <f>611.184-14.987</f>
        <v>596.197</v>
      </c>
      <c r="M19" s="273">
        <f>N19</f>
        <v>570.15800000000002</v>
      </c>
      <c r="N19" s="664">
        <v>570.15800000000002</v>
      </c>
      <c r="O19" s="546">
        <f t="shared" si="1"/>
        <v>95.632483893746539</v>
      </c>
      <c r="P19" s="540">
        <v>611.18399999999997</v>
      </c>
      <c r="Q19" s="489">
        <f t="shared" si="2"/>
        <v>102.51376642284345</v>
      </c>
      <c r="R19" s="443"/>
      <c r="S19" s="732" t="s">
        <v>634</v>
      </c>
      <c r="T19" s="255"/>
      <c r="U19" s="255"/>
      <c r="V19" s="595">
        <f t="shared" si="3"/>
        <v>26.038999999999987</v>
      </c>
      <c r="W19" s="589">
        <f t="shared" si="4"/>
        <v>0</v>
      </c>
      <c r="AF19" s="598">
        <f t="shared" si="5"/>
        <v>-14.986999999999966</v>
      </c>
    </row>
    <row r="20" spans="1:32" s="196" customFormat="1">
      <c r="A20" s="272">
        <v>4</v>
      </c>
      <c r="B20" s="225" t="s">
        <v>425</v>
      </c>
      <c r="C20" s="263"/>
      <c r="D20" s="225"/>
      <c r="E20" s="336">
        <f>SUM(E21:E23)</f>
        <v>2146.6</v>
      </c>
      <c r="F20" s="336">
        <f t="shared" ref="F20:N20" si="12">SUM(F21:F23)</f>
        <v>0</v>
      </c>
      <c r="G20" s="336">
        <f t="shared" si="12"/>
        <v>2021.6</v>
      </c>
      <c r="H20" s="336">
        <f t="shared" si="12"/>
        <v>642.73900000000003</v>
      </c>
      <c r="I20" s="336">
        <f t="shared" si="12"/>
        <v>133.959</v>
      </c>
      <c r="J20" s="336">
        <f t="shared" si="12"/>
        <v>508.78</v>
      </c>
      <c r="K20" s="336">
        <f t="shared" si="12"/>
        <v>98.254310907786163</v>
      </c>
      <c r="L20" s="662">
        <f t="shared" si="12"/>
        <v>1298.7349999999999</v>
      </c>
      <c r="M20" s="336">
        <f t="shared" si="12"/>
        <v>1110.316</v>
      </c>
      <c r="N20" s="663">
        <f t="shared" si="12"/>
        <v>1110.316</v>
      </c>
      <c r="O20" s="544">
        <f t="shared" si="1"/>
        <v>85.492113479655202</v>
      </c>
      <c r="P20" s="430">
        <v>1378.8610000000001</v>
      </c>
      <c r="Q20" s="488">
        <f t="shared" si="2"/>
        <v>106.1695419003877</v>
      </c>
      <c r="R20" s="174"/>
      <c r="S20" s="263"/>
      <c r="T20" s="253"/>
      <c r="U20" s="253"/>
      <c r="V20" s="595">
        <f t="shared" si="3"/>
        <v>188.41899999999987</v>
      </c>
      <c r="W20" s="589">
        <f t="shared" si="4"/>
        <v>0</v>
      </c>
      <c r="AF20" s="598">
        <f t="shared" si="5"/>
        <v>-80.126000000000204</v>
      </c>
    </row>
    <row r="21" spans="1:32" ht="31.2">
      <c r="A21" s="270" t="s">
        <v>35</v>
      </c>
      <c r="B21" s="274" t="s">
        <v>426</v>
      </c>
      <c r="C21" s="275" t="s">
        <v>179</v>
      </c>
      <c r="D21" s="402">
        <v>7991248</v>
      </c>
      <c r="E21" s="338">
        <v>474</v>
      </c>
      <c r="F21" s="221"/>
      <c r="G21" s="547">
        <v>450</v>
      </c>
      <c r="H21" s="273">
        <v>153.51900000000001</v>
      </c>
      <c r="I21" s="540">
        <v>40.518999999999998</v>
      </c>
      <c r="J21" s="540">
        <v>113</v>
      </c>
      <c r="K21" s="545">
        <v>34.115333333333339</v>
      </c>
      <c r="L21" s="534">
        <f>296.481-10.357</f>
        <v>286.12400000000002</v>
      </c>
      <c r="M21" s="273">
        <f>N21</f>
        <v>264.59100000000001</v>
      </c>
      <c r="N21" s="664">
        <v>264.59100000000001</v>
      </c>
      <c r="O21" s="546">
        <f t="shared" si="1"/>
        <v>92.474241937062246</v>
      </c>
      <c r="P21" s="540">
        <v>296.48099999999999</v>
      </c>
      <c r="Q21" s="489">
        <f t="shared" si="2"/>
        <v>103.61975926521367</v>
      </c>
      <c r="R21" s="443"/>
      <c r="S21" s="732" t="s">
        <v>634</v>
      </c>
      <c r="T21" s="255"/>
      <c r="U21" s="255"/>
      <c r="V21" s="595">
        <f t="shared" si="3"/>
        <v>21.533000000000015</v>
      </c>
      <c r="W21" s="589">
        <f t="shared" si="4"/>
        <v>0</v>
      </c>
      <c r="AF21" s="598">
        <f t="shared" si="5"/>
        <v>-10.356999999999971</v>
      </c>
    </row>
    <row r="22" spans="1:32">
      <c r="A22" s="270" t="s">
        <v>35</v>
      </c>
      <c r="B22" s="432" t="s">
        <v>427</v>
      </c>
      <c r="C22" s="275" t="s">
        <v>179</v>
      </c>
      <c r="D22" s="402">
        <v>7991234</v>
      </c>
      <c r="E22" s="338">
        <v>1281</v>
      </c>
      <c r="F22" s="221"/>
      <c r="G22" s="547">
        <v>1200</v>
      </c>
      <c r="H22" s="221">
        <v>363.41800000000001</v>
      </c>
      <c r="I22" s="540">
        <v>64.418000000000006</v>
      </c>
      <c r="J22" s="540">
        <v>299</v>
      </c>
      <c r="K22" s="545">
        <v>30.284833333333331</v>
      </c>
      <c r="L22" s="534">
        <f>836.582-69.769</f>
        <v>766.81299999999999</v>
      </c>
      <c r="M22" s="273">
        <f>N22</f>
        <v>626.35500000000002</v>
      </c>
      <c r="N22" s="664">
        <v>626.35500000000002</v>
      </c>
      <c r="O22" s="546">
        <f t="shared" si="1"/>
        <v>81.682887483649864</v>
      </c>
      <c r="P22" s="540">
        <v>836.58199999999999</v>
      </c>
      <c r="Q22" s="489">
        <f t="shared" si="2"/>
        <v>109.09856770816353</v>
      </c>
      <c r="R22" s="443"/>
      <c r="S22" s="732" t="s">
        <v>634</v>
      </c>
      <c r="T22" s="255"/>
      <c r="U22" s="255"/>
      <c r="V22" s="595">
        <f t="shared" si="3"/>
        <v>140.45799999999997</v>
      </c>
      <c r="W22" s="589">
        <f t="shared" si="4"/>
        <v>0</v>
      </c>
      <c r="AF22" s="598">
        <f t="shared" si="5"/>
        <v>-69.769000000000005</v>
      </c>
    </row>
    <row r="23" spans="1:32" ht="31.2">
      <c r="A23" s="270" t="s">
        <v>35</v>
      </c>
      <c r="B23" s="279" t="s">
        <v>428</v>
      </c>
      <c r="C23" s="275" t="s">
        <v>179</v>
      </c>
      <c r="D23" s="402">
        <v>7997707</v>
      </c>
      <c r="E23" s="338">
        <v>391.6</v>
      </c>
      <c r="F23" s="221"/>
      <c r="G23" s="547">
        <v>371.6</v>
      </c>
      <c r="H23" s="273">
        <v>125.80200000000001</v>
      </c>
      <c r="I23" s="540">
        <v>29.021999999999998</v>
      </c>
      <c r="J23" s="540">
        <v>96.78</v>
      </c>
      <c r="K23" s="545">
        <v>33.854144241119485</v>
      </c>
      <c r="L23" s="534">
        <v>245.798</v>
      </c>
      <c r="M23" s="273">
        <f>N23</f>
        <v>219.37</v>
      </c>
      <c r="N23" s="664">
        <v>219.37</v>
      </c>
      <c r="O23" s="546">
        <f t="shared" si="1"/>
        <v>89.248081758191688</v>
      </c>
      <c r="P23" s="540">
        <v>245.798</v>
      </c>
      <c r="Q23" s="489">
        <f t="shared" si="2"/>
        <v>100</v>
      </c>
      <c r="R23" s="443"/>
      <c r="T23" s="255"/>
      <c r="U23" s="255"/>
      <c r="V23" s="595">
        <f t="shared" si="3"/>
        <v>26.427999999999997</v>
      </c>
      <c r="W23" s="589">
        <f t="shared" si="4"/>
        <v>0</v>
      </c>
      <c r="AB23" s="103"/>
      <c r="AF23" s="598">
        <f t="shared" si="5"/>
        <v>0</v>
      </c>
    </row>
    <row r="24" spans="1:32" s="196" customFormat="1">
      <c r="A24" s="272">
        <v>5</v>
      </c>
      <c r="B24" s="225" t="s">
        <v>429</v>
      </c>
      <c r="C24" s="263"/>
      <c r="D24" s="263"/>
      <c r="E24" s="336">
        <f>SUM(E25:E26)</f>
        <v>1915</v>
      </c>
      <c r="F24" s="336">
        <f t="shared" ref="F24:N24" si="13">SUM(F25:F26)</f>
        <v>0</v>
      </c>
      <c r="G24" s="336">
        <f t="shared" si="13"/>
        <v>2021.6</v>
      </c>
      <c r="H24" s="336">
        <f t="shared" si="13"/>
        <v>776.20100000000002</v>
      </c>
      <c r="I24" s="336">
        <f t="shared" si="13"/>
        <v>306.20100000000002</v>
      </c>
      <c r="J24" s="336">
        <f t="shared" si="13"/>
        <v>469.99999999999994</v>
      </c>
      <c r="K24" s="336">
        <f t="shared" si="13"/>
        <v>131.06279960296249</v>
      </c>
      <c r="L24" s="662">
        <f t="shared" si="13"/>
        <v>1245.3990000000001</v>
      </c>
      <c r="M24" s="336">
        <f t="shared" si="13"/>
        <v>1200</v>
      </c>
      <c r="N24" s="663">
        <f t="shared" si="13"/>
        <v>1178.403</v>
      </c>
      <c r="O24" s="544">
        <f t="shared" si="1"/>
        <v>94.620519207097473</v>
      </c>
      <c r="P24" s="430">
        <v>1245.3990000000001</v>
      </c>
      <c r="Q24" s="488">
        <f t="shared" si="2"/>
        <v>100</v>
      </c>
      <c r="R24" s="174"/>
      <c r="S24" s="253"/>
      <c r="T24" s="253"/>
      <c r="U24" s="253"/>
      <c r="V24" s="595">
        <f t="shared" si="3"/>
        <v>66.996000000000095</v>
      </c>
      <c r="W24" s="589">
        <f t="shared" si="4"/>
        <v>21.59699999999998</v>
      </c>
      <c r="AF24" s="598">
        <f t="shared" si="5"/>
        <v>0</v>
      </c>
    </row>
    <row r="25" spans="1:32">
      <c r="A25" s="270" t="s">
        <v>35</v>
      </c>
      <c r="B25" s="337" t="s">
        <v>430</v>
      </c>
      <c r="C25" s="227" t="s">
        <v>174</v>
      </c>
      <c r="D25" s="402">
        <v>7970127</v>
      </c>
      <c r="E25" s="338"/>
      <c r="F25" s="221"/>
      <c r="G25" s="547">
        <v>202.6</v>
      </c>
      <c r="H25" s="221">
        <v>201.52600000000001</v>
      </c>
      <c r="I25" s="540">
        <v>201.52600000000001</v>
      </c>
      <c r="J25" s="540">
        <v>0</v>
      </c>
      <c r="K25" s="545">
        <v>99.469891411648575</v>
      </c>
      <c r="L25" s="534">
        <v>1.0739999999999839</v>
      </c>
      <c r="M25" s="273"/>
      <c r="N25" s="664"/>
      <c r="O25" s="546">
        <f t="shared" si="1"/>
        <v>0</v>
      </c>
      <c r="P25" s="540">
        <v>1.0739999999999839</v>
      </c>
      <c r="Q25" s="489">
        <f t="shared" si="2"/>
        <v>100</v>
      </c>
      <c r="R25" s="443"/>
      <c r="T25" s="255"/>
      <c r="U25" s="255"/>
      <c r="V25" s="595">
        <f t="shared" si="3"/>
        <v>1.0739999999999839</v>
      </c>
      <c r="W25" s="589">
        <f t="shared" si="4"/>
        <v>0</v>
      </c>
      <c r="AF25" s="598">
        <f t="shared" si="5"/>
        <v>0</v>
      </c>
    </row>
    <row r="26" spans="1:32" ht="46.8">
      <c r="A26" s="270" t="s">
        <v>35</v>
      </c>
      <c r="B26" s="337" t="s">
        <v>431</v>
      </c>
      <c r="C26" s="227" t="s">
        <v>174</v>
      </c>
      <c r="D26" s="402">
        <v>7990600</v>
      </c>
      <c r="E26" s="338">
        <v>1915</v>
      </c>
      <c r="F26" s="221"/>
      <c r="G26" s="547">
        <v>1819</v>
      </c>
      <c r="H26" s="273">
        <v>574.67499999999995</v>
      </c>
      <c r="I26" s="540">
        <v>104.675</v>
      </c>
      <c r="J26" s="540">
        <v>469.99999999999994</v>
      </c>
      <c r="K26" s="545">
        <v>31.592908191313906</v>
      </c>
      <c r="L26" s="534">
        <v>1244.325</v>
      </c>
      <c r="M26" s="273">
        <v>1200</v>
      </c>
      <c r="N26" s="664">
        <f>L26-65.922</f>
        <v>1178.403</v>
      </c>
      <c r="O26" s="546">
        <f t="shared" si="1"/>
        <v>94.702187933216791</v>
      </c>
      <c r="P26" s="540">
        <v>1244.325</v>
      </c>
      <c r="Q26" s="489">
        <f t="shared" si="2"/>
        <v>100</v>
      </c>
      <c r="R26" s="443"/>
      <c r="T26" s="255"/>
      <c r="U26" s="255"/>
      <c r="V26" s="595">
        <f t="shared" si="3"/>
        <v>65.922000000000025</v>
      </c>
      <c r="W26" s="589">
        <f t="shared" si="4"/>
        <v>21.59699999999998</v>
      </c>
      <c r="AF26" s="598">
        <f t="shared" si="5"/>
        <v>0</v>
      </c>
    </row>
    <row r="27" spans="1:32" s="196" customFormat="1">
      <c r="A27" s="272">
        <v>6</v>
      </c>
      <c r="B27" s="225" t="s">
        <v>432</v>
      </c>
      <c r="C27" s="263"/>
      <c r="D27" s="225"/>
      <c r="E27" s="336">
        <f>SUM(E28:E30)</f>
        <v>2406.6</v>
      </c>
      <c r="F27" s="336">
        <f t="shared" ref="F27:N27" si="14">SUM(F28:F30)</f>
        <v>0</v>
      </c>
      <c r="G27" s="336">
        <f t="shared" si="14"/>
        <v>2021.6</v>
      </c>
      <c r="H27" s="336">
        <f t="shared" si="14"/>
        <v>0</v>
      </c>
      <c r="I27" s="336">
        <f t="shared" si="14"/>
        <v>0</v>
      </c>
      <c r="J27" s="336">
        <f t="shared" si="14"/>
        <v>0</v>
      </c>
      <c r="K27" s="336">
        <f t="shared" si="14"/>
        <v>0</v>
      </c>
      <c r="L27" s="662">
        <f t="shared" si="14"/>
        <v>2021.6</v>
      </c>
      <c r="M27" s="336">
        <f t="shared" si="14"/>
        <v>1363.617</v>
      </c>
      <c r="N27" s="663">
        <f t="shared" si="14"/>
        <v>1363.617</v>
      </c>
      <c r="O27" s="544">
        <f t="shared" si="1"/>
        <v>67.452364463791056</v>
      </c>
      <c r="P27" s="430">
        <v>2021.6</v>
      </c>
      <c r="Q27" s="488">
        <f t="shared" si="2"/>
        <v>100</v>
      </c>
      <c r="R27" s="174"/>
      <c r="S27" s="253"/>
      <c r="T27" s="253"/>
      <c r="U27" s="253"/>
      <c r="V27" s="595">
        <f t="shared" si="3"/>
        <v>657.98299999999995</v>
      </c>
      <c r="W27" s="589">
        <f t="shared" si="4"/>
        <v>0</v>
      </c>
      <c r="AF27" s="598">
        <f t="shared" si="5"/>
        <v>0</v>
      </c>
    </row>
    <row r="28" spans="1:32">
      <c r="A28" s="270" t="s">
        <v>35</v>
      </c>
      <c r="B28" s="276" t="s">
        <v>433</v>
      </c>
      <c r="C28" s="277" t="s">
        <v>180</v>
      </c>
      <c r="D28" s="402">
        <v>7992038</v>
      </c>
      <c r="E28" s="338">
        <v>406.6</v>
      </c>
      <c r="F28" s="221"/>
      <c r="G28" s="547">
        <v>121.6</v>
      </c>
      <c r="H28" s="221"/>
      <c r="I28" s="540">
        <v>0</v>
      </c>
      <c r="J28" s="540">
        <v>0</v>
      </c>
      <c r="K28" s="545">
        <v>0</v>
      </c>
      <c r="L28" s="534">
        <v>121.6</v>
      </c>
      <c r="M28" s="273">
        <f>N28</f>
        <v>96.173000000000002</v>
      </c>
      <c r="N28" s="664">
        <v>96.173000000000002</v>
      </c>
      <c r="O28" s="546">
        <f t="shared" si="1"/>
        <v>79.08963815789474</v>
      </c>
      <c r="P28" s="540">
        <v>121.6</v>
      </c>
      <c r="Q28" s="489">
        <f t="shared" si="2"/>
        <v>100</v>
      </c>
      <c r="R28" s="443"/>
      <c r="T28" s="255"/>
      <c r="U28" s="255"/>
      <c r="V28" s="595">
        <f t="shared" si="3"/>
        <v>25.426999999999992</v>
      </c>
      <c r="W28" s="589">
        <f t="shared" si="4"/>
        <v>0</v>
      </c>
      <c r="AF28" s="598">
        <f t="shared" si="5"/>
        <v>0</v>
      </c>
    </row>
    <row r="29" spans="1:32">
      <c r="A29" s="270" t="s">
        <v>35</v>
      </c>
      <c r="B29" s="276" t="s">
        <v>434</v>
      </c>
      <c r="C29" s="277" t="s">
        <v>180</v>
      </c>
      <c r="D29" s="402">
        <v>8006664</v>
      </c>
      <c r="E29" s="338">
        <v>1000</v>
      </c>
      <c r="F29" s="221"/>
      <c r="G29" s="547">
        <v>950</v>
      </c>
      <c r="H29" s="221"/>
      <c r="I29" s="540">
        <v>0</v>
      </c>
      <c r="J29" s="540">
        <v>0</v>
      </c>
      <c r="K29" s="545">
        <v>0</v>
      </c>
      <c r="L29" s="534">
        <v>950</v>
      </c>
      <c r="M29" s="273">
        <f>N29</f>
        <v>672.98199999999997</v>
      </c>
      <c r="N29" s="664">
        <v>672.98199999999997</v>
      </c>
      <c r="O29" s="546">
        <f t="shared" si="1"/>
        <v>70.840210526315786</v>
      </c>
      <c r="P29" s="540">
        <v>950</v>
      </c>
      <c r="Q29" s="489">
        <f t="shared" si="2"/>
        <v>100</v>
      </c>
      <c r="R29" s="443"/>
      <c r="T29" s="255"/>
      <c r="U29" s="255"/>
      <c r="V29" s="595">
        <f t="shared" si="3"/>
        <v>277.01800000000003</v>
      </c>
      <c r="W29" s="589">
        <f t="shared" si="4"/>
        <v>0</v>
      </c>
      <c r="AF29" s="598">
        <f t="shared" si="5"/>
        <v>0</v>
      </c>
    </row>
    <row r="30" spans="1:32">
      <c r="A30" s="270" t="s">
        <v>35</v>
      </c>
      <c r="B30" s="276" t="s">
        <v>501</v>
      </c>
      <c r="C30" s="277" t="s">
        <v>180</v>
      </c>
      <c r="D30" s="402">
        <v>8006665</v>
      </c>
      <c r="E30" s="338">
        <v>1000</v>
      </c>
      <c r="F30" s="221"/>
      <c r="G30" s="547">
        <v>950</v>
      </c>
      <c r="H30" s="221"/>
      <c r="I30" s="540">
        <v>0</v>
      </c>
      <c r="J30" s="540">
        <v>0</v>
      </c>
      <c r="K30" s="545">
        <v>0</v>
      </c>
      <c r="L30" s="534">
        <v>950</v>
      </c>
      <c r="M30" s="273">
        <f>N30</f>
        <v>594.46199999999999</v>
      </c>
      <c r="N30" s="664">
        <v>594.46199999999999</v>
      </c>
      <c r="O30" s="546">
        <f t="shared" si="1"/>
        <v>62.57494736842105</v>
      </c>
      <c r="P30" s="540">
        <v>950</v>
      </c>
      <c r="Q30" s="489">
        <f t="shared" si="2"/>
        <v>100</v>
      </c>
      <c r="R30" s="443"/>
      <c r="T30" s="255"/>
      <c r="U30" s="255"/>
      <c r="V30" s="595">
        <f t="shared" si="3"/>
        <v>355.53800000000001</v>
      </c>
      <c r="W30" s="589">
        <f t="shared" si="4"/>
        <v>0</v>
      </c>
      <c r="AF30" s="598">
        <f t="shared" si="5"/>
        <v>0</v>
      </c>
    </row>
    <row r="31" spans="1:32" s="196" customFormat="1">
      <c r="A31" s="272">
        <v>7</v>
      </c>
      <c r="B31" s="225" t="s">
        <v>435</v>
      </c>
      <c r="C31" s="278"/>
      <c r="D31" s="278"/>
      <c r="E31" s="336">
        <f>SUM(E32:E34)</f>
        <v>2370.6</v>
      </c>
      <c r="F31" s="336">
        <f t="shared" ref="F31:N31" si="15">SUM(F32:F34)</f>
        <v>0</v>
      </c>
      <c r="G31" s="336">
        <f t="shared" si="15"/>
        <v>2021.6</v>
      </c>
      <c r="H31" s="336">
        <f t="shared" si="15"/>
        <v>381.012</v>
      </c>
      <c r="I31" s="336">
        <f t="shared" si="15"/>
        <v>128.934</v>
      </c>
      <c r="J31" s="336">
        <f t="shared" si="15"/>
        <v>252.07799999999997</v>
      </c>
      <c r="K31" s="336">
        <f t="shared" si="15"/>
        <v>54.901842105263157</v>
      </c>
      <c r="L31" s="662">
        <f t="shared" si="15"/>
        <v>1640.588</v>
      </c>
      <c r="M31" s="336">
        <f t="shared" si="15"/>
        <v>1525.6288</v>
      </c>
      <c r="N31" s="663">
        <f t="shared" si="15"/>
        <v>1525.6288</v>
      </c>
      <c r="O31" s="544">
        <f t="shared" si="1"/>
        <v>92.992805018688415</v>
      </c>
      <c r="P31" s="430">
        <v>1640.588</v>
      </c>
      <c r="Q31" s="488">
        <f t="shared" si="2"/>
        <v>100</v>
      </c>
      <c r="R31" s="174"/>
      <c r="S31" s="253"/>
      <c r="T31" s="253"/>
      <c r="U31" s="253"/>
      <c r="V31" s="595">
        <f t="shared" si="3"/>
        <v>114.95920000000001</v>
      </c>
      <c r="W31" s="589">
        <f t="shared" si="4"/>
        <v>0</v>
      </c>
      <c r="AF31" s="598">
        <f t="shared" si="5"/>
        <v>0</v>
      </c>
    </row>
    <row r="32" spans="1:32">
      <c r="A32" s="270" t="s">
        <v>35</v>
      </c>
      <c r="B32" s="276" t="s">
        <v>436</v>
      </c>
      <c r="C32" s="277" t="s">
        <v>181</v>
      </c>
      <c r="D32" s="402">
        <v>7994165</v>
      </c>
      <c r="E32" s="338">
        <v>1000</v>
      </c>
      <c r="F32" s="221"/>
      <c r="G32" s="547">
        <v>950</v>
      </c>
      <c r="H32" s="221">
        <v>306.22899999999998</v>
      </c>
      <c r="I32" s="540">
        <v>54.151000000000003</v>
      </c>
      <c r="J32" s="540">
        <v>252.07799999999997</v>
      </c>
      <c r="K32" s="545">
        <v>32.234631578947365</v>
      </c>
      <c r="L32" s="534">
        <v>643.77099999999996</v>
      </c>
      <c r="M32" s="273">
        <f>N32</f>
        <v>636.77139999999997</v>
      </c>
      <c r="N32" s="664">
        <v>636.77139999999997</v>
      </c>
      <c r="O32" s="546">
        <f t="shared" si="1"/>
        <v>98.912718963730896</v>
      </c>
      <c r="P32" s="540">
        <v>643.77099999999996</v>
      </c>
      <c r="Q32" s="489">
        <f t="shared" si="2"/>
        <v>100</v>
      </c>
      <c r="R32" s="443"/>
      <c r="T32" s="255"/>
      <c r="U32" s="255"/>
      <c r="V32" s="595">
        <f t="shared" si="3"/>
        <v>6.9995999999999867</v>
      </c>
      <c r="W32" s="589">
        <f t="shared" si="4"/>
        <v>0</v>
      </c>
      <c r="AF32" s="598">
        <f t="shared" si="5"/>
        <v>0</v>
      </c>
    </row>
    <row r="33" spans="1:32">
      <c r="A33" s="270" t="s">
        <v>35</v>
      </c>
      <c r="B33" s="276" t="s">
        <v>437</v>
      </c>
      <c r="C33" s="277" t="s">
        <v>181</v>
      </c>
      <c r="D33" s="402">
        <v>7994164</v>
      </c>
      <c r="E33" s="338">
        <v>1000</v>
      </c>
      <c r="F33" s="221"/>
      <c r="G33" s="547">
        <v>950</v>
      </c>
      <c r="H33" s="221">
        <v>54.151000000000003</v>
      </c>
      <c r="I33" s="540">
        <v>54.151000000000003</v>
      </c>
      <c r="J33" s="540">
        <v>0</v>
      </c>
      <c r="K33" s="545">
        <v>5.7001052631578952</v>
      </c>
      <c r="L33" s="534">
        <v>895.84900000000005</v>
      </c>
      <c r="M33" s="273">
        <f>N33</f>
        <v>888.85739999999998</v>
      </c>
      <c r="N33" s="664">
        <v>888.85739999999998</v>
      </c>
      <c r="O33" s="546">
        <f t="shared" si="1"/>
        <v>99.219555974276901</v>
      </c>
      <c r="P33" s="540">
        <v>895.84900000000005</v>
      </c>
      <c r="Q33" s="489">
        <f t="shared" si="2"/>
        <v>100</v>
      </c>
      <c r="R33" s="443"/>
      <c r="T33" s="255"/>
      <c r="U33" s="255"/>
      <c r="V33" s="595">
        <f t="shared" si="3"/>
        <v>6.9916000000000622</v>
      </c>
      <c r="W33" s="589">
        <f t="shared" si="4"/>
        <v>0</v>
      </c>
      <c r="AF33" s="598">
        <f t="shared" si="5"/>
        <v>0</v>
      </c>
    </row>
    <row r="34" spans="1:32">
      <c r="A34" s="270" t="s">
        <v>35</v>
      </c>
      <c r="B34" s="337" t="s">
        <v>438</v>
      </c>
      <c r="C34" s="277" t="s">
        <v>181</v>
      </c>
      <c r="D34" s="402">
        <v>7994166</v>
      </c>
      <c r="E34" s="338">
        <v>370.6</v>
      </c>
      <c r="F34" s="221"/>
      <c r="G34" s="547">
        <v>121.6</v>
      </c>
      <c r="H34" s="221">
        <v>20.632000000000001</v>
      </c>
      <c r="I34" s="540">
        <v>20.632000000000001</v>
      </c>
      <c r="J34" s="540">
        <v>0</v>
      </c>
      <c r="K34" s="545">
        <v>16.967105263157897</v>
      </c>
      <c r="L34" s="534">
        <v>100.96799999999999</v>
      </c>
      <c r="M34" s="273"/>
      <c r="N34" s="664"/>
      <c r="O34" s="546">
        <f t="shared" si="1"/>
        <v>0</v>
      </c>
      <c r="P34" s="540">
        <v>100.96799999999999</v>
      </c>
      <c r="Q34" s="489">
        <f t="shared" si="2"/>
        <v>100</v>
      </c>
      <c r="R34" s="443"/>
      <c r="T34" s="255"/>
      <c r="U34" s="255"/>
      <c r="V34" s="595">
        <f t="shared" si="3"/>
        <v>100.96799999999999</v>
      </c>
      <c r="W34" s="589">
        <f t="shared" si="4"/>
        <v>0</v>
      </c>
      <c r="AF34" s="598">
        <f t="shared" si="5"/>
        <v>0</v>
      </c>
    </row>
    <row r="35" spans="1:32" s="196" customFormat="1">
      <c r="A35" s="272">
        <v>8</v>
      </c>
      <c r="B35" s="225" t="s">
        <v>439</v>
      </c>
      <c r="C35" s="263"/>
      <c r="D35" s="225"/>
      <c r="E35" s="336">
        <f>SUM(E36:E38)</f>
        <v>2128.6</v>
      </c>
      <c r="F35" s="336">
        <f t="shared" ref="F35:N35" si="16">SUM(F36:F38)</f>
        <v>0</v>
      </c>
      <c r="G35" s="336">
        <f t="shared" si="16"/>
        <v>2021.6</v>
      </c>
      <c r="H35" s="336">
        <f t="shared" si="16"/>
        <v>1051.2660000000001</v>
      </c>
      <c r="I35" s="336">
        <f t="shared" si="16"/>
        <v>1051.2660000000001</v>
      </c>
      <c r="J35" s="336">
        <f t="shared" si="16"/>
        <v>0</v>
      </c>
      <c r="K35" s="336">
        <f t="shared" si="16"/>
        <v>94.518844590457547</v>
      </c>
      <c r="L35" s="662">
        <f t="shared" si="16"/>
        <v>1130.7760000000001</v>
      </c>
      <c r="M35" s="336">
        <f t="shared" si="16"/>
        <v>738.99800000000005</v>
      </c>
      <c r="N35" s="663">
        <f t="shared" si="16"/>
        <v>545.61200000000008</v>
      </c>
      <c r="O35" s="544">
        <f t="shared" si="1"/>
        <v>48.251112510346886</v>
      </c>
      <c r="P35" s="430">
        <v>970.33399999999995</v>
      </c>
      <c r="Q35" s="488">
        <f t="shared" si="2"/>
        <v>85.81133663961738</v>
      </c>
      <c r="R35" s="174"/>
      <c r="S35" s="253"/>
      <c r="T35" s="253"/>
      <c r="U35" s="253"/>
      <c r="V35" s="595">
        <f t="shared" si="3"/>
        <v>585.16399999999999</v>
      </c>
      <c r="W35" s="589">
        <f t="shared" si="4"/>
        <v>193.38599999999997</v>
      </c>
      <c r="AF35" s="598">
        <f t="shared" si="5"/>
        <v>160.44200000000012</v>
      </c>
    </row>
    <row r="36" spans="1:32" ht="31.2">
      <c r="A36" s="270" t="s">
        <v>35</v>
      </c>
      <c r="B36" s="279" t="s">
        <v>440</v>
      </c>
      <c r="C36" s="433" t="s">
        <v>133</v>
      </c>
      <c r="D36" s="402">
        <v>7998196</v>
      </c>
      <c r="E36" s="338">
        <v>916</v>
      </c>
      <c r="F36" s="221"/>
      <c r="G36" s="547">
        <v>609.37099999999998</v>
      </c>
      <c r="H36" s="221"/>
      <c r="I36" s="540">
        <v>0</v>
      </c>
      <c r="J36" s="540">
        <v>0</v>
      </c>
      <c r="K36" s="545">
        <v>0</v>
      </c>
      <c r="L36" s="534">
        <v>609.37099999999998</v>
      </c>
      <c r="M36" s="273">
        <v>500</v>
      </c>
      <c r="N36" s="664">
        <v>306.61399999999998</v>
      </c>
      <c r="O36" s="546">
        <f t="shared" si="1"/>
        <v>50.316473872238753</v>
      </c>
      <c r="P36" s="540">
        <v>609.37099999999998</v>
      </c>
      <c r="Q36" s="489">
        <f t="shared" si="2"/>
        <v>100</v>
      </c>
      <c r="R36" s="443"/>
      <c r="T36" s="255"/>
      <c r="U36" s="255"/>
      <c r="V36" s="595">
        <f t="shared" si="3"/>
        <v>302.75700000000001</v>
      </c>
      <c r="W36" s="589">
        <f t="shared" si="4"/>
        <v>193.38600000000002</v>
      </c>
      <c r="AF36" s="598">
        <f t="shared" si="5"/>
        <v>0</v>
      </c>
    </row>
    <row r="37" spans="1:32">
      <c r="A37" s="270" t="s">
        <v>35</v>
      </c>
      <c r="B37" s="276" t="s">
        <v>441</v>
      </c>
      <c r="C37" s="433" t="s">
        <v>133</v>
      </c>
      <c r="D37" s="402">
        <v>7998195</v>
      </c>
      <c r="E37" s="338">
        <v>316</v>
      </c>
      <c r="F37" s="221"/>
      <c r="G37" s="547">
        <v>300</v>
      </c>
      <c r="H37" s="221"/>
      <c r="I37" s="540">
        <v>0</v>
      </c>
      <c r="J37" s="540">
        <v>0</v>
      </c>
      <c r="K37" s="545">
        <v>0</v>
      </c>
      <c r="L37" s="534">
        <f>300+160.442</f>
        <v>460.44200000000001</v>
      </c>
      <c r="M37" s="273">
        <f>N37</f>
        <v>214.01900000000001</v>
      </c>
      <c r="N37" s="664">
        <f>86.108+127.911</f>
        <v>214.01900000000001</v>
      </c>
      <c r="O37" s="546">
        <f t="shared" si="1"/>
        <v>46.481207187876002</v>
      </c>
      <c r="P37" s="540">
        <v>300</v>
      </c>
      <c r="Q37" s="489">
        <f t="shared" si="2"/>
        <v>65.154786053400855</v>
      </c>
      <c r="R37" s="443"/>
      <c r="S37" s="731" t="s">
        <v>634</v>
      </c>
      <c r="T37" s="255"/>
      <c r="U37" s="255"/>
      <c r="V37" s="595">
        <f t="shared" si="3"/>
        <v>246.423</v>
      </c>
      <c r="W37" s="589">
        <f t="shared" si="4"/>
        <v>0</v>
      </c>
      <c r="AF37" s="598">
        <f t="shared" si="5"/>
        <v>160.44200000000001</v>
      </c>
    </row>
    <row r="38" spans="1:32" ht="31.2">
      <c r="A38" s="270" t="s">
        <v>35</v>
      </c>
      <c r="B38" s="279" t="s">
        <v>442</v>
      </c>
      <c r="C38" s="433" t="s">
        <v>133</v>
      </c>
      <c r="D38" s="402">
        <v>7998197</v>
      </c>
      <c r="E38" s="338">
        <v>896.6</v>
      </c>
      <c r="F38" s="221"/>
      <c r="G38" s="547">
        <v>1112.229</v>
      </c>
      <c r="H38" s="273">
        <v>1051.2660000000001</v>
      </c>
      <c r="I38" s="540">
        <v>1051.2660000000001</v>
      </c>
      <c r="J38" s="540">
        <v>0</v>
      </c>
      <c r="K38" s="545">
        <v>94.518844590457547</v>
      </c>
      <c r="L38" s="534">
        <v>60.962999999999965</v>
      </c>
      <c r="M38" s="273">
        <f>N38</f>
        <v>24.978999999999999</v>
      </c>
      <c r="N38" s="664">
        <v>24.978999999999999</v>
      </c>
      <c r="O38" s="546">
        <f t="shared" si="1"/>
        <v>40.974033430113373</v>
      </c>
      <c r="P38" s="540">
        <v>60.962999999999965</v>
      </c>
      <c r="Q38" s="489">
        <f t="shared" si="2"/>
        <v>100</v>
      </c>
      <c r="R38" s="443"/>
      <c r="T38" s="255"/>
      <c r="U38" s="255"/>
      <c r="V38" s="595">
        <f t="shared" si="3"/>
        <v>35.983999999999966</v>
      </c>
      <c r="W38" s="589">
        <f t="shared" si="4"/>
        <v>0</v>
      </c>
      <c r="AA38" s="103">
        <f>L40-N40</f>
        <v>9.5230000000000246</v>
      </c>
      <c r="AF38" s="598">
        <f t="shared" si="5"/>
        <v>0</v>
      </c>
    </row>
    <row r="39" spans="1:32" s="196" customFormat="1">
      <c r="A39" s="272">
        <v>9</v>
      </c>
      <c r="B39" s="225" t="s">
        <v>443</v>
      </c>
      <c r="C39" s="263"/>
      <c r="D39" s="225"/>
      <c r="E39" s="336">
        <f>SUM(E40:E41)</f>
        <v>2128.6</v>
      </c>
      <c r="F39" s="336">
        <f t="shared" ref="F39:N39" si="17">SUM(F40:F41)</f>
        <v>0</v>
      </c>
      <c r="G39" s="336">
        <f t="shared" si="17"/>
        <v>2021.6</v>
      </c>
      <c r="H39" s="336">
        <f t="shared" si="17"/>
        <v>1079.6669999999999</v>
      </c>
      <c r="I39" s="336">
        <f t="shared" si="17"/>
        <v>816.66699999999992</v>
      </c>
      <c r="J39" s="336">
        <f t="shared" si="17"/>
        <v>263</v>
      </c>
      <c r="K39" s="336">
        <f t="shared" si="17"/>
        <v>107.23658997650743</v>
      </c>
      <c r="L39" s="662">
        <f t="shared" si="17"/>
        <v>941.93300000000011</v>
      </c>
      <c r="M39" s="336">
        <f t="shared" si="17"/>
        <v>924.37600000000009</v>
      </c>
      <c r="N39" s="663">
        <f t="shared" si="17"/>
        <v>924.37600000000009</v>
      </c>
      <c r="O39" s="544">
        <f t="shared" si="1"/>
        <v>98.136067002642434</v>
      </c>
      <c r="P39" s="430">
        <v>941.93300000000011</v>
      </c>
      <c r="Q39" s="488">
        <f t="shared" si="2"/>
        <v>100</v>
      </c>
      <c r="R39" s="174"/>
      <c r="S39" s="253"/>
      <c r="T39" s="253"/>
      <c r="U39" s="253"/>
      <c r="V39" s="595">
        <f t="shared" si="3"/>
        <v>17.557000000000016</v>
      </c>
      <c r="W39" s="589">
        <f t="shared" si="4"/>
        <v>0</v>
      </c>
      <c r="AF39" s="598">
        <f t="shared" si="5"/>
        <v>0</v>
      </c>
    </row>
    <row r="40" spans="1:32">
      <c r="A40" s="270" t="s">
        <v>35</v>
      </c>
      <c r="B40" s="279" t="s">
        <v>444</v>
      </c>
      <c r="C40" s="226" t="s">
        <v>182</v>
      </c>
      <c r="D40" s="402">
        <v>7988317</v>
      </c>
      <c r="E40" s="338">
        <v>1053</v>
      </c>
      <c r="F40" s="221"/>
      <c r="G40" s="547">
        <v>1000</v>
      </c>
      <c r="H40" s="221">
        <v>734.35199999999998</v>
      </c>
      <c r="I40" s="540">
        <v>734.35199999999998</v>
      </c>
      <c r="J40" s="540">
        <v>0</v>
      </c>
      <c r="K40" s="545">
        <v>73.435199999999995</v>
      </c>
      <c r="L40" s="534">
        <v>265.64800000000002</v>
      </c>
      <c r="M40" s="273">
        <f>N40</f>
        <v>256.125</v>
      </c>
      <c r="N40" s="664">
        <v>256.125</v>
      </c>
      <c r="O40" s="546">
        <f t="shared" si="1"/>
        <v>96.415180991387089</v>
      </c>
      <c r="P40" s="540">
        <v>265.64800000000002</v>
      </c>
      <c r="Q40" s="489">
        <f t="shared" ref="Q40:Q71" si="18">P40/L40*100</f>
        <v>100</v>
      </c>
      <c r="R40" s="443"/>
      <c r="T40" s="255"/>
      <c r="U40" s="255"/>
      <c r="V40" s="595">
        <f t="shared" ref="V40:V71" si="19">L40-N40</f>
        <v>9.5230000000000246</v>
      </c>
      <c r="W40" s="589">
        <f t="shared" ref="W40:W71" si="20">M40-N40</f>
        <v>0</v>
      </c>
      <c r="AA40" s="624">
        <f>M40-N40</f>
        <v>0</v>
      </c>
      <c r="AF40" s="598">
        <f t="shared" si="5"/>
        <v>0</v>
      </c>
    </row>
    <row r="41" spans="1:32">
      <c r="A41" s="270" t="s">
        <v>35</v>
      </c>
      <c r="B41" s="279" t="s">
        <v>445</v>
      </c>
      <c r="C41" s="226" t="s">
        <v>182</v>
      </c>
      <c r="D41" s="402">
        <v>7988316</v>
      </c>
      <c r="E41" s="338">
        <v>1075.5999999999999</v>
      </c>
      <c r="F41" s="221"/>
      <c r="G41" s="547">
        <v>1021.6</v>
      </c>
      <c r="H41" s="221">
        <v>345.315</v>
      </c>
      <c r="I41" s="540">
        <v>82.314999999999998</v>
      </c>
      <c r="J41" s="540">
        <v>263</v>
      </c>
      <c r="K41" s="545">
        <v>33.801389976507437</v>
      </c>
      <c r="L41" s="534">
        <v>676.28500000000008</v>
      </c>
      <c r="M41" s="273">
        <f>N41</f>
        <v>668.25100000000009</v>
      </c>
      <c r="N41" s="664">
        <f>643.666+24.585</f>
        <v>668.25100000000009</v>
      </c>
      <c r="O41" s="546">
        <f t="shared" si="1"/>
        <v>98.812039302956606</v>
      </c>
      <c r="P41" s="540">
        <v>676.28500000000008</v>
      </c>
      <c r="Q41" s="489">
        <f t="shared" si="18"/>
        <v>100</v>
      </c>
      <c r="R41" s="443"/>
      <c r="T41" s="255"/>
      <c r="U41" s="255"/>
      <c r="V41" s="595">
        <f t="shared" si="19"/>
        <v>8.0339999999999918</v>
      </c>
      <c r="W41" s="589">
        <f t="shared" si="20"/>
        <v>0</v>
      </c>
      <c r="AF41" s="598">
        <f t="shared" si="5"/>
        <v>0</v>
      </c>
    </row>
    <row r="42" spans="1:32" s="196" customFormat="1">
      <c r="A42" s="272">
        <v>10</v>
      </c>
      <c r="B42" s="225" t="s">
        <v>446</v>
      </c>
      <c r="C42" s="263"/>
      <c r="D42" s="225"/>
      <c r="E42" s="336">
        <f t="shared" ref="E42:N42" si="21">SUM(E43:E44)</f>
        <v>2129.6</v>
      </c>
      <c r="F42" s="336">
        <f t="shared" si="21"/>
        <v>0</v>
      </c>
      <c r="G42" s="336">
        <f t="shared" si="21"/>
        <v>2021.6</v>
      </c>
      <c r="H42" s="336">
        <f t="shared" si="21"/>
        <v>734.68849999999998</v>
      </c>
      <c r="I42" s="336">
        <f t="shared" si="21"/>
        <v>236.08850000000001</v>
      </c>
      <c r="J42" s="336">
        <f t="shared" si="21"/>
        <v>498.6</v>
      </c>
      <c r="K42" s="336">
        <f t="shared" si="21"/>
        <v>72.711601344860711</v>
      </c>
      <c r="L42" s="662">
        <f t="shared" si="21"/>
        <v>1239.9814999999999</v>
      </c>
      <c r="M42" s="336">
        <f t="shared" si="21"/>
        <v>1204.5140000000001</v>
      </c>
      <c r="N42" s="663">
        <f t="shared" si="21"/>
        <v>1204.5140000000001</v>
      </c>
      <c r="O42" s="544">
        <f t="shared" si="1"/>
        <v>97.139675067732895</v>
      </c>
      <c r="P42" s="540">
        <v>1286.9115000000002</v>
      </c>
      <c r="Q42" s="488">
        <f t="shared" si="18"/>
        <v>103.78473388514267</v>
      </c>
      <c r="R42" s="174"/>
      <c r="S42" s="253"/>
      <c r="T42" s="253"/>
      <c r="U42" s="253"/>
      <c r="V42" s="595">
        <f t="shared" si="19"/>
        <v>35.467499999999745</v>
      </c>
      <c r="W42" s="589">
        <f t="shared" si="20"/>
        <v>0</v>
      </c>
      <c r="AF42" s="598">
        <f t="shared" si="5"/>
        <v>-46.930000000000291</v>
      </c>
    </row>
    <row r="43" spans="1:32">
      <c r="A43" s="270" t="s">
        <v>35</v>
      </c>
      <c r="B43" s="274" t="s">
        <v>447</v>
      </c>
      <c r="C43" s="275" t="s">
        <v>183</v>
      </c>
      <c r="D43" s="402">
        <v>7969164</v>
      </c>
      <c r="E43" s="338">
        <v>1106</v>
      </c>
      <c r="F43" s="221"/>
      <c r="G43" s="547">
        <v>1050</v>
      </c>
      <c r="H43" s="221">
        <v>377.98099999999999</v>
      </c>
      <c r="I43" s="540">
        <v>125.381</v>
      </c>
      <c r="J43" s="540">
        <v>252.6</v>
      </c>
      <c r="K43" s="545">
        <v>35.99819047619048</v>
      </c>
      <c r="L43" s="534">
        <f>672.019-43.23</f>
        <v>628.78899999999999</v>
      </c>
      <c r="M43" s="273">
        <f>N43</f>
        <v>628.78899999999999</v>
      </c>
      <c r="N43" s="664">
        <v>628.78899999999999</v>
      </c>
      <c r="O43" s="546">
        <f t="shared" si="1"/>
        <v>100</v>
      </c>
      <c r="P43" s="540">
        <v>672.01900000000001</v>
      </c>
      <c r="Q43" s="489">
        <f t="shared" si="18"/>
        <v>106.87512027086987</v>
      </c>
      <c r="R43" s="443"/>
      <c r="S43" s="731" t="s">
        <v>634</v>
      </c>
      <c r="T43" s="255"/>
      <c r="U43" s="255"/>
      <c r="V43" s="595">
        <f t="shared" si="19"/>
        <v>0</v>
      </c>
      <c r="W43" s="589">
        <f t="shared" si="20"/>
        <v>0</v>
      </c>
      <c r="AF43" s="598">
        <f t="shared" si="5"/>
        <v>-43.230000000000018</v>
      </c>
    </row>
    <row r="44" spans="1:32">
      <c r="A44" s="270" t="s">
        <v>35</v>
      </c>
      <c r="B44" s="274" t="s">
        <v>448</v>
      </c>
      <c r="C44" s="275" t="s">
        <v>183</v>
      </c>
      <c r="D44" s="402">
        <v>7969165</v>
      </c>
      <c r="E44" s="338">
        <v>1023.6</v>
      </c>
      <c r="F44" s="221"/>
      <c r="G44" s="547">
        <v>971.6</v>
      </c>
      <c r="H44" s="548">
        <v>356.70749999999998</v>
      </c>
      <c r="I44" s="540">
        <v>110.7075</v>
      </c>
      <c r="J44" s="540">
        <v>246</v>
      </c>
      <c r="K44" s="545">
        <v>36.713410868670231</v>
      </c>
      <c r="L44" s="534">
        <f>614.8925-3.7</f>
        <v>611.1925</v>
      </c>
      <c r="M44" s="273">
        <f>N44</f>
        <v>575.72500000000002</v>
      </c>
      <c r="N44" s="664">
        <v>575.72500000000002</v>
      </c>
      <c r="O44" s="546">
        <f t="shared" si="1"/>
        <v>94.197000126801299</v>
      </c>
      <c r="P44" s="540">
        <v>614.89250000000004</v>
      </c>
      <c r="Q44" s="489">
        <f t="shared" si="18"/>
        <v>100.60537392065511</v>
      </c>
      <c r="R44" s="443"/>
      <c r="S44" s="731" t="s">
        <v>634</v>
      </c>
      <c r="T44" s="255"/>
      <c r="U44" s="255"/>
      <c r="V44" s="595">
        <f t="shared" si="19"/>
        <v>35.467499999999973</v>
      </c>
      <c r="W44" s="589">
        <f t="shared" si="20"/>
        <v>0</v>
      </c>
      <c r="AF44" s="598">
        <f t="shared" si="5"/>
        <v>-3.7000000000000455</v>
      </c>
    </row>
    <row r="45" spans="1:32" s="196" customFormat="1">
      <c r="A45" s="272">
        <v>11</v>
      </c>
      <c r="B45" s="225" t="s">
        <v>449</v>
      </c>
      <c r="C45" s="263"/>
      <c r="D45" s="225"/>
      <c r="E45" s="336">
        <f>SUM(E46:E48)</f>
        <v>2129.6</v>
      </c>
      <c r="F45" s="336">
        <f t="shared" ref="F45:N45" si="22">SUM(F46:F48)</f>
        <v>0</v>
      </c>
      <c r="G45" s="336">
        <f t="shared" si="22"/>
        <v>2021.6</v>
      </c>
      <c r="H45" s="336">
        <f t="shared" si="22"/>
        <v>907.98199999999997</v>
      </c>
      <c r="I45" s="336">
        <f t="shared" si="22"/>
        <v>512.45800000000008</v>
      </c>
      <c r="J45" s="336">
        <f t="shared" si="22"/>
        <v>395.524</v>
      </c>
      <c r="K45" s="336">
        <f t="shared" si="22"/>
        <v>146.35179324607586</v>
      </c>
      <c r="L45" s="662">
        <f t="shared" si="22"/>
        <v>1113.6179999999999</v>
      </c>
      <c r="M45" s="336">
        <f t="shared" si="22"/>
        <v>1096.1490000000001</v>
      </c>
      <c r="N45" s="663">
        <f t="shared" si="22"/>
        <v>1096.1490000000001</v>
      </c>
      <c r="O45" s="544">
        <f t="shared" si="1"/>
        <v>98.431329234980055</v>
      </c>
      <c r="P45" s="430">
        <v>1113.6179999999999</v>
      </c>
      <c r="Q45" s="488">
        <f t="shared" si="18"/>
        <v>100</v>
      </c>
      <c r="R45" s="174"/>
      <c r="S45" s="253"/>
      <c r="T45" s="253"/>
      <c r="U45" s="253"/>
      <c r="V45" s="595">
        <f t="shared" si="19"/>
        <v>17.468999999999824</v>
      </c>
      <c r="W45" s="589">
        <f t="shared" si="20"/>
        <v>0</v>
      </c>
      <c r="AF45" s="598">
        <f t="shared" si="5"/>
        <v>0</v>
      </c>
    </row>
    <row r="46" spans="1:32" ht="46.8">
      <c r="A46" s="270" t="s">
        <v>35</v>
      </c>
      <c r="B46" s="279" t="s">
        <v>450</v>
      </c>
      <c r="C46" s="433" t="s">
        <v>184</v>
      </c>
      <c r="D46" s="402">
        <v>7995135</v>
      </c>
      <c r="E46" s="338">
        <v>706</v>
      </c>
      <c r="F46" s="221"/>
      <c r="G46" s="547">
        <v>670</v>
      </c>
      <c r="H46" s="273">
        <v>227.315</v>
      </c>
      <c r="I46" s="540">
        <v>53.433</v>
      </c>
      <c r="J46" s="540">
        <v>173.88200000000001</v>
      </c>
      <c r="K46" s="545">
        <v>33.927611940298505</v>
      </c>
      <c r="L46" s="534">
        <f>442.685</f>
        <v>442.685</v>
      </c>
      <c r="M46" s="273">
        <f>N46</f>
        <v>437.04900000000004</v>
      </c>
      <c r="N46" s="664">
        <f>424.158+12.891</f>
        <v>437.04900000000004</v>
      </c>
      <c r="O46" s="546">
        <f t="shared" si="1"/>
        <v>98.726859956854213</v>
      </c>
      <c r="P46" s="540">
        <v>442.685</v>
      </c>
      <c r="Q46" s="488">
        <f t="shared" si="18"/>
        <v>100</v>
      </c>
      <c r="R46" s="443"/>
      <c r="T46" s="255"/>
      <c r="U46" s="255"/>
      <c r="V46" s="595">
        <f t="shared" si="19"/>
        <v>5.6359999999999673</v>
      </c>
      <c r="W46" s="589">
        <f t="shared" si="20"/>
        <v>0</v>
      </c>
      <c r="AF46" s="598">
        <f t="shared" si="5"/>
        <v>0</v>
      </c>
    </row>
    <row r="47" spans="1:32" ht="46.8">
      <c r="A47" s="270" t="s">
        <v>35</v>
      </c>
      <c r="B47" s="279" t="s">
        <v>451</v>
      </c>
      <c r="C47" s="433" t="s">
        <v>184</v>
      </c>
      <c r="D47" s="402">
        <v>7994179</v>
      </c>
      <c r="E47" s="338">
        <v>896.6</v>
      </c>
      <c r="F47" s="221"/>
      <c r="G47" s="547">
        <v>851.6</v>
      </c>
      <c r="H47" s="273">
        <v>287.12700000000001</v>
      </c>
      <c r="I47" s="540">
        <v>65.484999999999999</v>
      </c>
      <c r="J47" s="540">
        <v>221.642</v>
      </c>
      <c r="K47" s="545">
        <v>33.716181305777361</v>
      </c>
      <c r="L47" s="534">
        <v>564.47299999999996</v>
      </c>
      <c r="M47" s="273">
        <f>N47</f>
        <v>557.12900000000002</v>
      </c>
      <c r="N47" s="664">
        <f>540.683+16.446</f>
        <v>557.12900000000002</v>
      </c>
      <c r="O47" s="546">
        <f t="shared" si="1"/>
        <v>98.698963457951066</v>
      </c>
      <c r="P47" s="540">
        <v>564.47299999999996</v>
      </c>
      <c r="Q47" s="489">
        <f t="shared" si="18"/>
        <v>100</v>
      </c>
      <c r="R47" s="443"/>
      <c r="T47" s="255"/>
      <c r="U47" s="255"/>
      <c r="V47" s="595">
        <f t="shared" si="19"/>
        <v>7.3439999999999372</v>
      </c>
      <c r="W47" s="589">
        <f t="shared" si="20"/>
        <v>0</v>
      </c>
      <c r="AF47" s="598">
        <f t="shared" si="5"/>
        <v>0</v>
      </c>
    </row>
    <row r="48" spans="1:32" ht="46.8">
      <c r="A48" s="270" t="s">
        <v>35</v>
      </c>
      <c r="B48" s="279" t="s">
        <v>452</v>
      </c>
      <c r="C48" s="433" t="s">
        <v>184</v>
      </c>
      <c r="D48" s="402">
        <v>7995129</v>
      </c>
      <c r="E48" s="338">
        <v>527</v>
      </c>
      <c r="F48" s="221"/>
      <c r="G48" s="547">
        <v>500</v>
      </c>
      <c r="H48" s="273">
        <v>393.54</v>
      </c>
      <c r="I48" s="540">
        <v>393.54</v>
      </c>
      <c r="J48" s="540">
        <v>0</v>
      </c>
      <c r="K48" s="545">
        <v>78.707999999999998</v>
      </c>
      <c r="L48" s="534">
        <v>106.45999999999998</v>
      </c>
      <c r="M48" s="273">
        <f>N48</f>
        <v>101.971</v>
      </c>
      <c r="N48" s="664">
        <v>101.971</v>
      </c>
      <c r="O48" s="546">
        <f t="shared" si="1"/>
        <v>95.783392823595733</v>
      </c>
      <c r="P48" s="540">
        <v>106.45999999999998</v>
      </c>
      <c r="Q48" s="489">
        <f t="shared" si="18"/>
        <v>100</v>
      </c>
      <c r="R48" s="443"/>
      <c r="S48" s="258"/>
      <c r="T48" s="258"/>
      <c r="U48" s="258"/>
      <c r="V48" s="595">
        <f t="shared" si="19"/>
        <v>4.4889999999999759</v>
      </c>
      <c r="W48" s="589">
        <f t="shared" si="20"/>
        <v>0</v>
      </c>
      <c r="AF48" s="598">
        <f t="shared" si="5"/>
        <v>0</v>
      </c>
    </row>
    <row r="49" spans="1:32" s="196" customFormat="1">
      <c r="A49" s="272">
        <v>12</v>
      </c>
      <c r="B49" s="225" t="s">
        <v>453</v>
      </c>
      <c r="C49" s="263"/>
      <c r="D49" s="225"/>
      <c r="E49" s="336">
        <f>E50</f>
        <v>2128.6</v>
      </c>
      <c r="F49" s="336">
        <f t="shared" ref="F49:N49" si="23">F50</f>
        <v>0</v>
      </c>
      <c r="G49" s="336">
        <f t="shared" si="23"/>
        <v>2021.6</v>
      </c>
      <c r="H49" s="336">
        <f t="shared" si="23"/>
        <v>1520.4490000000001</v>
      </c>
      <c r="I49" s="336">
        <f t="shared" si="23"/>
        <v>1520.4490000000001</v>
      </c>
      <c r="J49" s="336">
        <f t="shared" si="23"/>
        <v>0</v>
      </c>
      <c r="K49" s="336">
        <f t="shared" si="23"/>
        <v>75.210180055401665</v>
      </c>
      <c r="L49" s="662">
        <f t="shared" si="23"/>
        <v>501.15099999999984</v>
      </c>
      <c r="M49" s="336">
        <f t="shared" si="23"/>
        <v>478.41199999999998</v>
      </c>
      <c r="N49" s="663">
        <f t="shared" si="23"/>
        <v>478.41199999999998</v>
      </c>
      <c r="O49" s="544">
        <f t="shared" si="1"/>
        <v>95.462644991230221</v>
      </c>
      <c r="P49" s="430">
        <v>501.15099999999984</v>
      </c>
      <c r="Q49" s="488">
        <f t="shared" si="18"/>
        <v>100</v>
      </c>
      <c r="R49" s="174"/>
      <c r="S49" s="253"/>
      <c r="T49" s="253"/>
      <c r="U49" s="253"/>
      <c r="V49" s="595">
        <f t="shared" si="19"/>
        <v>22.738999999999862</v>
      </c>
      <c r="W49" s="589">
        <f t="shared" si="20"/>
        <v>0</v>
      </c>
      <c r="AF49" s="598">
        <f t="shared" si="5"/>
        <v>0</v>
      </c>
    </row>
    <row r="50" spans="1:32" ht="31.2">
      <c r="A50" s="270" t="s">
        <v>35</v>
      </c>
      <c r="B50" s="434" t="s">
        <v>454</v>
      </c>
      <c r="C50" s="414" t="s">
        <v>185</v>
      </c>
      <c r="D50" s="402">
        <v>7974121</v>
      </c>
      <c r="E50" s="338">
        <v>2128.6</v>
      </c>
      <c r="F50" s="221"/>
      <c r="G50" s="547">
        <v>2021.6</v>
      </c>
      <c r="H50" s="273">
        <v>1520.4490000000001</v>
      </c>
      <c r="I50" s="540">
        <v>1520.4490000000001</v>
      </c>
      <c r="J50" s="540">
        <v>0</v>
      </c>
      <c r="K50" s="545">
        <v>75.210180055401665</v>
      </c>
      <c r="L50" s="534">
        <v>501.15099999999984</v>
      </c>
      <c r="M50" s="273">
        <f>N50</f>
        <v>478.41199999999998</v>
      </c>
      <c r="N50" s="664">
        <v>478.41199999999998</v>
      </c>
      <c r="O50" s="544">
        <f t="shared" si="1"/>
        <v>95.462644991230221</v>
      </c>
      <c r="P50" s="540">
        <v>501.15099999999984</v>
      </c>
      <c r="Q50" s="489">
        <f t="shared" si="18"/>
        <v>100</v>
      </c>
      <c r="R50" s="443"/>
      <c r="T50" s="255"/>
      <c r="U50" s="255"/>
      <c r="V50" s="696">
        <f t="shared" si="19"/>
        <v>22.738999999999862</v>
      </c>
      <c r="W50" s="589">
        <f t="shared" si="20"/>
        <v>0</v>
      </c>
      <c r="AF50" s="598">
        <f t="shared" si="5"/>
        <v>0</v>
      </c>
    </row>
    <row r="51" spans="1:32" s="254" customFormat="1" ht="31.8" customHeight="1">
      <c r="A51" s="263" t="s">
        <v>505</v>
      </c>
      <c r="B51" s="225" t="s">
        <v>166</v>
      </c>
      <c r="C51" s="252"/>
      <c r="D51" s="252"/>
      <c r="E51" s="336">
        <f t="shared" ref="E51:N51" si="24">E52+E101</f>
        <v>123790</v>
      </c>
      <c r="F51" s="336">
        <f t="shared" si="24"/>
        <v>0</v>
      </c>
      <c r="G51" s="336">
        <f t="shared" si="24"/>
        <v>69034</v>
      </c>
      <c r="H51" s="336">
        <f t="shared" si="24"/>
        <v>22111.325000000001</v>
      </c>
      <c r="I51" s="336">
        <f t="shared" si="24"/>
        <v>4545.7089999999998</v>
      </c>
      <c r="J51" s="336">
        <f t="shared" si="24"/>
        <v>17565.615999999998</v>
      </c>
      <c r="K51" s="336">
        <f t="shared" si="24"/>
        <v>1407.1408324231472</v>
      </c>
      <c r="L51" s="662">
        <f t="shared" si="24"/>
        <v>46922.675000000003</v>
      </c>
      <c r="M51" s="336">
        <f t="shared" si="24"/>
        <v>41829.118179999998</v>
      </c>
      <c r="N51" s="663">
        <f t="shared" si="24"/>
        <v>40786.420179999994</v>
      </c>
      <c r="O51" s="544">
        <f t="shared" si="1"/>
        <v>86.92262361427602</v>
      </c>
      <c r="P51" s="430">
        <v>46922.674999999996</v>
      </c>
      <c r="Q51" s="488">
        <f t="shared" si="18"/>
        <v>99.999999999999986</v>
      </c>
      <c r="R51" s="507"/>
      <c r="S51" s="253"/>
      <c r="T51" s="253"/>
      <c r="U51" s="253"/>
      <c r="V51" s="595">
        <f t="shared" si="19"/>
        <v>6136.2548200000092</v>
      </c>
      <c r="W51" s="589">
        <f t="shared" si="20"/>
        <v>1042.698000000004</v>
      </c>
      <c r="AF51" s="598">
        <f t="shared" si="5"/>
        <v>0</v>
      </c>
    </row>
    <row r="52" spans="1:32" s="196" customFormat="1" ht="46.8">
      <c r="A52" s="280" t="s">
        <v>9</v>
      </c>
      <c r="B52" s="281" t="s">
        <v>186</v>
      </c>
      <c r="C52" s="252"/>
      <c r="D52" s="252"/>
      <c r="E52" s="336">
        <f>E53</f>
        <v>112290</v>
      </c>
      <c r="F52" s="336">
        <f t="shared" ref="F52:N52" si="25">F53</f>
        <v>0</v>
      </c>
      <c r="G52" s="336">
        <f t="shared" si="25"/>
        <v>64100</v>
      </c>
      <c r="H52" s="336">
        <f t="shared" si="25"/>
        <v>18821.751</v>
      </c>
      <c r="I52" s="336">
        <f t="shared" si="25"/>
        <v>4092.9709999999995</v>
      </c>
      <c r="J52" s="336">
        <f t="shared" si="25"/>
        <v>14728.779999999997</v>
      </c>
      <c r="K52" s="336">
        <f t="shared" si="25"/>
        <v>1318.9098159349246</v>
      </c>
      <c r="L52" s="662">
        <f t="shared" si="25"/>
        <v>45278.249000000003</v>
      </c>
      <c r="M52" s="336">
        <f t="shared" si="25"/>
        <v>40184.692179999998</v>
      </c>
      <c r="N52" s="663">
        <f t="shared" si="25"/>
        <v>39141.994179999994</v>
      </c>
      <c r="O52" s="544">
        <f t="shared" si="1"/>
        <v>86.447676410808185</v>
      </c>
      <c r="P52" s="430">
        <v>45278.248999999996</v>
      </c>
      <c r="Q52" s="488">
        <f t="shared" si="18"/>
        <v>99.999999999999986</v>
      </c>
      <c r="R52" s="508"/>
      <c r="S52" s="253"/>
      <c r="T52" s="253"/>
      <c r="U52" s="253"/>
      <c r="V52" s="595">
        <f t="shared" si="19"/>
        <v>6136.2548200000092</v>
      </c>
      <c r="W52" s="589">
        <f t="shared" si="20"/>
        <v>1042.698000000004</v>
      </c>
      <c r="AF52" s="598">
        <f t="shared" si="5"/>
        <v>0</v>
      </c>
    </row>
    <row r="53" spans="1:32" s="196" customFormat="1" ht="48.6">
      <c r="A53" s="282" t="s">
        <v>11</v>
      </c>
      <c r="B53" s="283" t="s">
        <v>187</v>
      </c>
      <c r="C53" s="252"/>
      <c r="D53" s="252"/>
      <c r="E53" s="435">
        <f>SUM(E54:E100)</f>
        <v>112290</v>
      </c>
      <c r="F53" s="435">
        <f t="shared" ref="F53:M53" si="26">SUM(F54:F100)</f>
        <v>0</v>
      </c>
      <c r="G53" s="435">
        <f t="shared" si="26"/>
        <v>64100</v>
      </c>
      <c r="H53" s="435">
        <f t="shared" si="26"/>
        <v>18821.751</v>
      </c>
      <c r="I53" s="435">
        <f t="shared" si="26"/>
        <v>4092.9709999999995</v>
      </c>
      <c r="J53" s="435">
        <f t="shared" si="26"/>
        <v>14728.779999999997</v>
      </c>
      <c r="K53" s="435">
        <f t="shared" si="26"/>
        <v>1318.9098159349246</v>
      </c>
      <c r="L53" s="435">
        <f t="shared" si="26"/>
        <v>45278.249000000003</v>
      </c>
      <c r="M53" s="435">
        <f t="shared" si="26"/>
        <v>40184.692179999998</v>
      </c>
      <c r="N53" s="435">
        <f>SUM(N54:N100)</f>
        <v>39141.994179999994</v>
      </c>
      <c r="O53" s="544">
        <f t="shared" si="1"/>
        <v>86.447676410808185</v>
      </c>
      <c r="P53" s="700">
        <f>SUM(P54:P100)</f>
        <v>46604.092000000004</v>
      </c>
      <c r="Q53" s="488">
        <f t="shared" si="18"/>
        <v>102.92821173362954</v>
      </c>
      <c r="R53" s="509"/>
      <c r="S53" s="253"/>
      <c r="T53" s="263">
        <f>SUM(T54:T105)</f>
        <v>47</v>
      </c>
      <c r="U53" s="263">
        <f>SUM(U54:U105)</f>
        <v>13</v>
      </c>
      <c r="V53" s="595">
        <f t="shared" si="19"/>
        <v>6136.2548200000092</v>
      </c>
      <c r="W53" s="589">
        <f t="shared" si="20"/>
        <v>1042.698000000004</v>
      </c>
      <c r="AF53" s="598">
        <f t="shared" si="5"/>
        <v>-1325.8430000000008</v>
      </c>
    </row>
    <row r="54" spans="1:32" ht="31.2">
      <c r="A54" s="284">
        <v>1</v>
      </c>
      <c r="B54" s="285" t="s">
        <v>188</v>
      </c>
      <c r="C54" s="414" t="s">
        <v>532</v>
      </c>
      <c r="D54" s="402">
        <v>7988830</v>
      </c>
      <c r="E54" s="338">
        <v>3260</v>
      </c>
      <c r="F54" s="221"/>
      <c r="G54" s="338">
        <v>2800</v>
      </c>
      <c r="H54" s="273">
        <v>1123.5450000000001</v>
      </c>
      <c r="I54" s="540">
        <v>266.21899999999999</v>
      </c>
      <c r="J54" s="540">
        <v>857.32600000000002</v>
      </c>
      <c r="K54" s="545">
        <v>40.126607142857146</v>
      </c>
      <c r="L54" s="534">
        <v>1676.4549999999999</v>
      </c>
      <c r="M54" s="273">
        <f>N54</f>
        <v>1508.134</v>
      </c>
      <c r="N54" s="664">
        <v>1508.134</v>
      </c>
      <c r="O54" s="546">
        <f t="shared" si="1"/>
        <v>89.959706642886331</v>
      </c>
      <c r="P54" s="540">
        <v>1676.4549999999999</v>
      </c>
      <c r="Q54" s="489">
        <f t="shared" si="18"/>
        <v>100</v>
      </c>
      <c r="R54" s="436"/>
      <c r="T54" s="255">
        <v>1</v>
      </c>
      <c r="U54" s="255"/>
      <c r="V54" s="595">
        <f t="shared" si="19"/>
        <v>168.32099999999991</v>
      </c>
      <c r="W54" s="589">
        <f t="shared" si="20"/>
        <v>0</v>
      </c>
      <c r="AF54" s="598">
        <f t="shared" si="5"/>
        <v>0</v>
      </c>
    </row>
    <row r="55" spans="1:32" ht="31.2">
      <c r="A55" s="284">
        <f>A54+1</f>
        <v>2</v>
      </c>
      <c r="B55" s="285" t="s">
        <v>189</v>
      </c>
      <c r="C55" s="414" t="s">
        <v>175</v>
      </c>
      <c r="D55" s="402">
        <v>7999808</v>
      </c>
      <c r="E55" s="338">
        <v>3000</v>
      </c>
      <c r="F55" s="221"/>
      <c r="G55" s="338">
        <v>2000</v>
      </c>
      <c r="H55" s="221"/>
      <c r="I55" s="540">
        <v>0</v>
      </c>
      <c r="J55" s="540">
        <v>0</v>
      </c>
      <c r="K55" s="545">
        <v>0</v>
      </c>
      <c r="L55" s="534">
        <v>2000</v>
      </c>
      <c r="M55" s="273">
        <v>2000</v>
      </c>
      <c r="N55" s="664">
        <v>2000</v>
      </c>
      <c r="O55" s="546">
        <f t="shared" si="1"/>
        <v>100</v>
      </c>
      <c r="P55" s="540">
        <v>2000</v>
      </c>
      <c r="Q55" s="489">
        <f t="shared" si="18"/>
        <v>100</v>
      </c>
      <c r="R55" s="443"/>
      <c r="S55" s="256"/>
      <c r="T55" s="255">
        <v>1</v>
      </c>
      <c r="U55" s="256">
        <v>1</v>
      </c>
      <c r="V55" s="595">
        <f t="shared" si="19"/>
        <v>0</v>
      </c>
      <c r="W55" s="589">
        <f t="shared" si="20"/>
        <v>0</v>
      </c>
      <c r="AF55" s="598">
        <f t="shared" si="5"/>
        <v>0</v>
      </c>
    </row>
    <row r="56" spans="1:32" ht="31.2">
      <c r="A56" s="284">
        <f t="shared" ref="A56:A98" si="27">A55+1</f>
        <v>3</v>
      </c>
      <c r="B56" s="285" t="s">
        <v>190</v>
      </c>
      <c r="C56" s="414" t="s">
        <v>532</v>
      </c>
      <c r="D56" s="402">
        <v>8000340</v>
      </c>
      <c r="E56" s="338">
        <v>1364</v>
      </c>
      <c r="F56" s="221"/>
      <c r="G56" s="338">
        <v>1000</v>
      </c>
      <c r="H56" s="221">
        <v>439.72199999999998</v>
      </c>
      <c r="I56" s="540">
        <v>83.052000000000007</v>
      </c>
      <c r="J56" s="540">
        <v>356.66999999999996</v>
      </c>
      <c r="K56" s="545">
        <v>43.972200000000001</v>
      </c>
      <c r="L56" s="534">
        <v>560.27800000000002</v>
      </c>
      <c r="M56" s="273">
        <f>N56</f>
        <v>560.27800000000002</v>
      </c>
      <c r="N56" s="664">
        <v>560.27800000000002</v>
      </c>
      <c r="O56" s="546">
        <f t="shared" si="1"/>
        <v>100</v>
      </c>
      <c r="P56" s="540">
        <v>560.27800000000002</v>
      </c>
      <c r="Q56" s="489">
        <f t="shared" si="18"/>
        <v>100</v>
      </c>
      <c r="R56" s="436"/>
      <c r="T56" s="255">
        <v>1</v>
      </c>
      <c r="U56" s="255"/>
      <c r="V56" s="595">
        <f t="shared" si="19"/>
        <v>0</v>
      </c>
      <c r="W56" s="589">
        <f t="shared" si="20"/>
        <v>0</v>
      </c>
      <c r="AF56" s="598">
        <f t="shared" si="5"/>
        <v>0</v>
      </c>
    </row>
    <row r="57" spans="1:32">
      <c r="A57" s="284">
        <v>4</v>
      </c>
      <c r="B57" s="286" t="s">
        <v>455</v>
      </c>
      <c r="C57" s="414" t="s">
        <v>175</v>
      </c>
      <c r="D57" s="402">
        <v>7999809</v>
      </c>
      <c r="E57" s="338">
        <v>500</v>
      </c>
      <c r="F57" s="221"/>
      <c r="G57" s="338">
        <v>500</v>
      </c>
      <c r="H57" s="221"/>
      <c r="I57" s="540">
        <v>0</v>
      </c>
      <c r="J57" s="540">
        <v>0</v>
      </c>
      <c r="K57" s="545">
        <v>0</v>
      </c>
      <c r="L57" s="534">
        <v>500</v>
      </c>
      <c r="M57" s="273">
        <v>400</v>
      </c>
      <c r="N57" s="664">
        <v>143.5</v>
      </c>
      <c r="O57" s="546">
        <f t="shared" si="1"/>
        <v>28.7</v>
      </c>
      <c r="P57" s="540">
        <v>500</v>
      </c>
      <c r="Q57" s="489">
        <f t="shared" si="18"/>
        <v>100</v>
      </c>
      <c r="R57" s="436"/>
      <c r="T57" s="255">
        <v>1</v>
      </c>
      <c r="U57" s="255">
        <v>1</v>
      </c>
      <c r="V57" s="595">
        <f t="shared" si="19"/>
        <v>356.5</v>
      </c>
      <c r="W57" s="589">
        <f t="shared" si="20"/>
        <v>256.5</v>
      </c>
      <c r="AF57" s="598">
        <f t="shared" si="5"/>
        <v>0</v>
      </c>
    </row>
    <row r="58" spans="1:32" ht="31.2">
      <c r="A58" s="284">
        <f t="shared" si="27"/>
        <v>5</v>
      </c>
      <c r="B58" s="285" t="s">
        <v>312</v>
      </c>
      <c r="C58" s="414" t="s">
        <v>532</v>
      </c>
      <c r="D58" s="402">
        <v>8006002</v>
      </c>
      <c r="E58" s="338">
        <v>1837</v>
      </c>
      <c r="F58" s="221"/>
      <c r="G58" s="338">
        <v>1200</v>
      </c>
      <c r="H58" s="221">
        <v>180.58</v>
      </c>
      <c r="I58" s="540">
        <v>121.732</v>
      </c>
      <c r="J58" s="540">
        <v>58.848000000000013</v>
      </c>
      <c r="K58" s="545">
        <v>15.048333333333334</v>
      </c>
      <c r="L58" s="534">
        <v>1019.42</v>
      </c>
      <c r="M58" s="273">
        <f>N58</f>
        <v>931.30100000000004</v>
      </c>
      <c r="N58" s="664">
        <v>931.30100000000004</v>
      </c>
      <c r="O58" s="546">
        <f t="shared" si="1"/>
        <v>91.355967118557629</v>
      </c>
      <c r="P58" s="540">
        <v>1019.42</v>
      </c>
      <c r="Q58" s="489">
        <f t="shared" si="18"/>
        <v>100</v>
      </c>
      <c r="R58" s="436"/>
      <c r="T58" s="255">
        <v>1</v>
      </c>
      <c r="U58" s="255"/>
      <c r="V58" s="595">
        <f t="shared" si="19"/>
        <v>88.118999999999915</v>
      </c>
      <c r="W58" s="589">
        <f t="shared" si="20"/>
        <v>0</v>
      </c>
      <c r="AF58" s="598">
        <f t="shared" si="5"/>
        <v>0</v>
      </c>
    </row>
    <row r="59" spans="1:32" ht="31.2">
      <c r="A59" s="284">
        <f t="shared" si="27"/>
        <v>6</v>
      </c>
      <c r="B59" s="285" t="s">
        <v>191</v>
      </c>
      <c r="C59" s="414" t="s">
        <v>532</v>
      </c>
      <c r="D59" s="402">
        <v>8003784</v>
      </c>
      <c r="E59" s="338">
        <v>1560</v>
      </c>
      <c r="F59" s="221"/>
      <c r="G59" s="338">
        <v>800</v>
      </c>
      <c r="H59" s="221">
        <v>177.70099999999999</v>
      </c>
      <c r="I59" s="540">
        <v>141.12100000000001</v>
      </c>
      <c r="J59" s="540">
        <v>36.579999999999984</v>
      </c>
      <c r="K59" s="545">
        <v>22.212624999999999</v>
      </c>
      <c r="L59" s="534">
        <v>622.29899999999998</v>
      </c>
      <c r="M59" s="273">
        <f t="shared" ref="M59:M63" si="28">N59</f>
        <v>622.29899999999998</v>
      </c>
      <c r="N59" s="664">
        <v>622.29899999999998</v>
      </c>
      <c r="O59" s="546">
        <f t="shared" si="1"/>
        <v>100</v>
      </c>
      <c r="P59" s="540">
        <v>622.29899999999998</v>
      </c>
      <c r="Q59" s="489">
        <f t="shared" si="18"/>
        <v>100</v>
      </c>
      <c r="R59" s="436"/>
      <c r="T59" s="255">
        <v>1</v>
      </c>
      <c r="U59" s="255"/>
      <c r="V59" s="595">
        <f t="shared" si="19"/>
        <v>0</v>
      </c>
      <c r="W59" s="589">
        <f t="shared" si="20"/>
        <v>0</v>
      </c>
      <c r="AF59" s="598">
        <f t="shared" si="5"/>
        <v>0</v>
      </c>
    </row>
    <row r="60" spans="1:32" ht="31.2">
      <c r="A60" s="284">
        <f t="shared" si="27"/>
        <v>7</v>
      </c>
      <c r="B60" s="286" t="s">
        <v>192</v>
      </c>
      <c r="C60" s="414" t="s">
        <v>532</v>
      </c>
      <c r="D60" s="402">
        <v>8007053</v>
      </c>
      <c r="E60" s="338">
        <v>1000</v>
      </c>
      <c r="F60" s="221"/>
      <c r="G60" s="338">
        <v>800</v>
      </c>
      <c r="H60" s="221">
        <v>318.12799999999999</v>
      </c>
      <c r="I60" s="540">
        <v>68.128</v>
      </c>
      <c r="J60" s="540">
        <v>250</v>
      </c>
      <c r="K60" s="545">
        <v>39.765999999999998</v>
      </c>
      <c r="L60" s="534">
        <v>481.87200000000001</v>
      </c>
      <c r="M60" s="273">
        <f>N60</f>
        <v>481.87200000000001</v>
      </c>
      <c r="N60" s="664">
        <v>481.87200000000001</v>
      </c>
      <c r="O60" s="546">
        <f t="shared" si="1"/>
        <v>100</v>
      </c>
      <c r="P60" s="540">
        <v>481.87200000000001</v>
      </c>
      <c r="Q60" s="489">
        <f t="shared" si="18"/>
        <v>100</v>
      </c>
      <c r="R60" s="436"/>
      <c r="T60" s="255">
        <v>1</v>
      </c>
      <c r="U60" s="255"/>
      <c r="V60" s="595">
        <f t="shared" si="19"/>
        <v>0</v>
      </c>
      <c r="W60" s="589">
        <f t="shared" si="20"/>
        <v>0</v>
      </c>
      <c r="AF60" s="598">
        <f t="shared" si="5"/>
        <v>0</v>
      </c>
    </row>
    <row r="61" spans="1:32" ht="31.2">
      <c r="A61" s="284">
        <f t="shared" si="27"/>
        <v>8</v>
      </c>
      <c r="B61" s="286" t="s">
        <v>193</v>
      </c>
      <c r="C61" s="414" t="s">
        <v>532</v>
      </c>
      <c r="D61" s="402">
        <v>8007261</v>
      </c>
      <c r="E61" s="338">
        <v>1000</v>
      </c>
      <c r="F61" s="221"/>
      <c r="G61" s="338">
        <v>800</v>
      </c>
      <c r="H61" s="221">
        <v>63.206000000000003</v>
      </c>
      <c r="I61" s="540">
        <v>63.206000000000003</v>
      </c>
      <c r="J61" s="540">
        <v>0</v>
      </c>
      <c r="K61" s="545">
        <v>7.9007500000000004</v>
      </c>
      <c r="L61" s="534">
        <v>736.79399999999998</v>
      </c>
      <c r="M61" s="273">
        <f t="shared" si="28"/>
        <v>736.79399999999998</v>
      </c>
      <c r="N61" s="664">
        <v>736.79399999999998</v>
      </c>
      <c r="O61" s="546">
        <f t="shared" si="1"/>
        <v>100</v>
      </c>
      <c r="P61" s="540">
        <v>736.79399999999998</v>
      </c>
      <c r="Q61" s="489">
        <f t="shared" si="18"/>
        <v>100</v>
      </c>
      <c r="R61" s="436"/>
      <c r="T61" s="255">
        <v>1</v>
      </c>
      <c r="U61" s="255"/>
      <c r="V61" s="595">
        <f t="shared" si="19"/>
        <v>0</v>
      </c>
      <c r="W61" s="589">
        <f t="shared" si="20"/>
        <v>0</v>
      </c>
      <c r="AF61" s="598">
        <f t="shared" si="5"/>
        <v>0</v>
      </c>
    </row>
    <row r="62" spans="1:32" ht="31.2">
      <c r="A62" s="284">
        <f t="shared" si="27"/>
        <v>9</v>
      </c>
      <c r="B62" s="286" t="s">
        <v>194</v>
      </c>
      <c r="C62" s="414" t="s">
        <v>532</v>
      </c>
      <c r="D62" s="402">
        <v>7995872</v>
      </c>
      <c r="E62" s="273">
        <v>2298</v>
      </c>
      <c r="F62" s="221"/>
      <c r="G62" s="273">
        <v>800</v>
      </c>
      <c r="H62" s="221">
        <v>771.92</v>
      </c>
      <c r="I62" s="540">
        <v>172.70099999999999</v>
      </c>
      <c r="J62" s="540">
        <v>599.21899999999994</v>
      </c>
      <c r="K62" s="545">
        <v>96.49</v>
      </c>
      <c r="L62" s="534">
        <v>28.080000000000041</v>
      </c>
      <c r="M62" s="273">
        <f t="shared" si="28"/>
        <v>28.08</v>
      </c>
      <c r="N62" s="664">
        <v>28.08</v>
      </c>
      <c r="O62" s="546">
        <f t="shared" si="1"/>
        <v>99.999999999999844</v>
      </c>
      <c r="P62" s="540">
        <v>28.080000000000041</v>
      </c>
      <c r="Q62" s="489">
        <f t="shared" si="18"/>
        <v>100</v>
      </c>
      <c r="R62" s="436"/>
      <c r="T62" s="255">
        <v>1</v>
      </c>
      <c r="U62" s="255"/>
      <c r="V62" s="595">
        <f t="shared" si="19"/>
        <v>4.2632564145606011E-14</v>
      </c>
      <c r="W62" s="589">
        <f t="shared" si="20"/>
        <v>0</v>
      </c>
      <c r="AF62" s="598">
        <f t="shared" si="5"/>
        <v>0</v>
      </c>
    </row>
    <row r="63" spans="1:32" ht="31.2">
      <c r="A63" s="284">
        <f t="shared" si="27"/>
        <v>10</v>
      </c>
      <c r="B63" s="285" t="s">
        <v>309</v>
      </c>
      <c r="C63" s="414" t="s">
        <v>179</v>
      </c>
      <c r="D63" s="402">
        <v>8006659</v>
      </c>
      <c r="E63" s="273">
        <v>2500</v>
      </c>
      <c r="F63" s="221"/>
      <c r="G63" s="273">
        <v>2000</v>
      </c>
      <c r="H63" s="221"/>
      <c r="I63" s="540">
        <v>0</v>
      </c>
      <c r="J63" s="540">
        <v>0</v>
      </c>
      <c r="K63" s="545">
        <v>0</v>
      </c>
      <c r="L63" s="534">
        <v>2000</v>
      </c>
      <c r="M63" s="273">
        <f t="shared" si="28"/>
        <v>2000</v>
      </c>
      <c r="N63" s="664">
        <v>2000</v>
      </c>
      <c r="O63" s="546">
        <f t="shared" si="1"/>
        <v>100</v>
      </c>
      <c r="P63" s="540">
        <v>2000</v>
      </c>
      <c r="Q63" s="489">
        <f t="shared" si="18"/>
        <v>100</v>
      </c>
      <c r="R63" s="443"/>
      <c r="T63" s="255">
        <v>1</v>
      </c>
      <c r="U63" s="255">
        <v>1</v>
      </c>
      <c r="V63" s="595">
        <f t="shared" si="19"/>
        <v>0</v>
      </c>
      <c r="W63" s="589">
        <f t="shared" si="20"/>
        <v>0</v>
      </c>
      <c r="AF63" s="598">
        <f t="shared" si="5"/>
        <v>0</v>
      </c>
    </row>
    <row r="64" spans="1:32" ht="31.2">
      <c r="A64" s="284">
        <f t="shared" si="27"/>
        <v>11</v>
      </c>
      <c r="B64" s="286" t="s">
        <v>195</v>
      </c>
      <c r="C64" s="414" t="s">
        <v>532</v>
      </c>
      <c r="D64" s="402">
        <v>8000342</v>
      </c>
      <c r="E64" s="273">
        <v>1718</v>
      </c>
      <c r="F64" s="221"/>
      <c r="G64" s="273">
        <v>1300</v>
      </c>
      <c r="H64" s="221">
        <v>560.84699999999998</v>
      </c>
      <c r="I64" s="540">
        <v>81.120999999999995</v>
      </c>
      <c r="J64" s="540">
        <v>479.726</v>
      </c>
      <c r="K64" s="545">
        <v>43.142076923076921</v>
      </c>
      <c r="L64" s="534">
        <v>739.15300000000002</v>
      </c>
      <c r="M64" s="273">
        <v>100</v>
      </c>
      <c r="N64" s="664">
        <v>10.492000000000001</v>
      </c>
      <c r="O64" s="546">
        <f t="shared" si="1"/>
        <v>1.4194625469963595</v>
      </c>
      <c r="P64" s="540">
        <v>739.15300000000002</v>
      </c>
      <c r="Q64" s="489">
        <f t="shared" si="18"/>
        <v>100</v>
      </c>
      <c r="R64" s="436"/>
      <c r="T64" s="255">
        <v>1</v>
      </c>
      <c r="U64" s="255"/>
      <c r="V64" s="595">
        <f t="shared" si="19"/>
        <v>728.66100000000006</v>
      </c>
      <c r="W64" s="589">
        <f t="shared" si="20"/>
        <v>89.507999999999996</v>
      </c>
      <c r="AF64" s="598">
        <f t="shared" si="5"/>
        <v>0</v>
      </c>
    </row>
    <row r="65" spans="1:32" ht="46.8">
      <c r="A65" s="284">
        <f t="shared" si="27"/>
        <v>12</v>
      </c>
      <c r="B65" s="285" t="s">
        <v>196</v>
      </c>
      <c r="C65" s="414" t="s">
        <v>174</v>
      </c>
      <c r="D65" s="402">
        <v>7990599</v>
      </c>
      <c r="E65" s="273">
        <v>2000</v>
      </c>
      <c r="F65" s="221"/>
      <c r="G65" s="273">
        <v>1500</v>
      </c>
      <c r="H65" s="221"/>
      <c r="I65" s="540">
        <v>0</v>
      </c>
      <c r="J65" s="540">
        <v>0</v>
      </c>
      <c r="K65" s="545">
        <v>0</v>
      </c>
      <c r="L65" s="534">
        <v>1500</v>
      </c>
      <c r="M65" s="273">
        <v>1500</v>
      </c>
      <c r="N65" s="664">
        <v>1500</v>
      </c>
      <c r="O65" s="546">
        <f t="shared" si="1"/>
        <v>100</v>
      </c>
      <c r="P65" s="540">
        <v>1500</v>
      </c>
      <c r="Q65" s="489">
        <f t="shared" si="18"/>
        <v>100</v>
      </c>
      <c r="R65" s="436"/>
      <c r="T65" s="255">
        <v>1</v>
      </c>
      <c r="U65" s="255">
        <v>1</v>
      </c>
      <c r="V65" s="595">
        <f t="shared" si="19"/>
        <v>0</v>
      </c>
      <c r="W65" s="589">
        <f t="shared" si="20"/>
        <v>0</v>
      </c>
      <c r="AF65" s="598">
        <f t="shared" si="5"/>
        <v>0</v>
      </c>
    </row>
    <row r="66" spans="1:32">
      <c r="A66" s="284">
        <f t="shared" si="27"/>
        <v>13</v>
      </c>
      <c r="B66" s="285" t="s">
        <v>197</v>
      </c>
      <c r="C66" s="414" t="s">
        <v>174</v>
      </c>
      <c r="D66" s="402">
        <v>7991259</v>
      </c>
      <c r="E66" s="273">
        <v>1500</v>
      </c>
      <c r="F66" s="221"/>
      <c r="G66" s="273">
        <v>1200</v>
      </c>
      <c r="H66" s="221"/>
      <c r="I66" s="540">
        <v>0</v>
      </c>
      <c r="J66" s="540">
        <v>0</v>
      </c>
      <c r="K66" s="545">
        <v>0</v>
      </c>
      <c r="L66" s="534">
        <v>1200</v>
      </c>
      <c r="M66" s="273">
        <v>1200</v>
      </c>
      <c r="N66" s="664">
        <v>1200</v>
      </c>
      <c r="O66" s="546">
        <f t="shared" si="1"/>
        <v>100</v>
      </c>
      <c r="P66" s="540">
        <v>1200</v>
      </c>
      <c r="Q66" s="489">
        <f t="shared" si="18"/>
        <v>100</v>
      </c>
      <c r="R66" s="436"/>
      <c r="T66" s="255">
        <v>1</v>
      </c>
      <c r="U66" s="255">
        <v>1</v>
      </c>
      <c r="V66" s="595">
        <f t="shared" si="19"/>
        <v>0</v>
      </c>
      <c r="W66" s="589">
        <f t="shared" si="20"/>
        <v>0</v>
      </c>
      <c r="AF66" s="598">
        <f t="shared" si="5"/>
        <v>0</v>
      </c>
    </row>
    <row r="67" spans="1:32" ht="31.2">
      <c r="A67" s="284">
        <f t="shared" si="27"/>
        <v>14</v>
      </c>
      <c r="B67" s="285" t="s">
        <v>198</v>
      </c>
      <c r="C67" s="414" t="s">
        <v>532</v>
      </c>
      <c r="D67" s="402">
        <v>8000355</v>
      </c>
      <c r="E67" s="273">
        <v>2360</v>
      </c>
      <c r="F67" s="221"/>
      <c r="G67" s="273">
        <v>1000</v>
      </c>
      <c r="H67" s="221">
        <v>783.48599999999999</v>
      </c>
      <c r="I67" s="540">
        <v>108.381</v>
      </c>
      <c r="J67" s="540">
        <v>675.10500000000002</v>
      </c>
      <c r="K67" s="545">
        <v>78.348600000000005</v>
      </c>
      <c r="L67" s="534">
        <v>216.51400000000001</v>
      </c>
      <c r="M67" s="273">
        <f>N67</f>
        <v>216.51400000000001</v>
      </c>
      <c r="N67" s="664">
        <v>216.51400000000001</v>
      </c>
      <c r="O67" s="546">
        <f t="shared" si="1"/>
        <v>100</v>
      </c>
      <c r="P67" s="540">
        <v>216.51400000000001</v>
      </c>
      <c r="Q67" s="489">
        <f t="shared" si="18"/>
        <v>100</v>
      </c>
      <c r="R67" s="436"/>
      <c r="T67" s="255">
        <v>1</v>
      </c>
      <c r="U67" s="255"/>
      <c r="V67" s="595">
        <f t="shared" si="19"/>
        <v>0</v>
      </c>
      <c r="W67" s="589">
        <f t="shared" si="20"/>
        <v>0</v>
      </c>
      <c r="AF67" s="598">
        <f t="shared" si="5"/>
        <v>0</v>
      </c>
    </row>
    <row r="68" spans="1:32" ht="31.2">
      <c r="A68" s="284">
        <f t="shared" si="27"/>
        <v>15</v>
      </c>
      <c r="B68" s="285" t="s">
        <v>199</v>
      </c>
      <c r="C68" s="414" t="s">
        <v>532</v>
      </c>
      <c r="D68" s="402">
        <v>7988829</v>
      </c>
      <c r="E68" s="273">
        <v>4000</v>
      </c>
      <c r="F68" s="221"/>
      <c r="G68" s="273">
        <v>1700</v>
      </c>
      <c r="H68" s="273">
        <v>1362.1579999999999</v>
      </c>
      <c r="I68" s="540">
        <v>257.63900000000001</v>
      </c>
      <c r="J68" s="540">
        <v>1104.5189999999998</v>
      </c>
      <c r="K68" s="545">
        <v>80.126941176470581</v>
      </c>
      <c r="L68" s="534">
        <v>337.8420000000001</v>
      </c>
      <c r="M68" s="273">
        <f>N68</f>
        <v>337.84199999999998</v>
      </c>
      <c r="N68" s="664">
        <v>337.84199999999998</v>
      </c>
      <c r="O68" s="546">
        <f t="shared" si="1"/>
        <v>99.999999999999972</v>
      </c>
      <c r="P68" s="540">
        <v>337.8420000000001</v>
      </c>
      <c r="Q68" s="489">
        <f t="shared" si="18"/>
        <v>100</v>
      </c>
      <c r="R68" s="436"/>
      <c r="T68" s="255">
        <v>1</v>
      </c>
      <c r="U68" s="255"/>
      <c r="V68" s="595">
        <f t="shared" si="19"/>
        <v>0</v>
      </c>
      <c r="W68" s="589">
        <f t="shared" si="20"/>
        <v>0</v>
      </c>
      <c r="AF68" s="598">
        <f t="shared" si="5"/>
        <v>0</v>
      </c>
    </row>
    <row r="69" spans="1:32" ht="31.2">
      <c r="A69" s="284">
        <f t="shared" si="27"/>
        <v>16</v>
      </c>
      <c r="B69" s="285" t="s">
        <v>200</v>
      </c>
      <c r="C69" s="414" t="s">
        <v>532</v>
      </c>
      <c r="D69" s="402">
        <v>7999814</v>
      </c>
      <c r="E69" s="273">
        <v>2147</v>
      </c>
      <c r="F69" s="221"/>
      <c r="G69" s="273">
        <v>1200</v>
      </c>
      <c r="H69" s="221">
        <v>732.74900000000002</v>
      </c>
      <c r="I69" s="540">
        <v>162.63800000000001</v>
      </c>
      <c r="J69" s="540">
        <v>570.11099999999999</v>
      </c>
      <c r="K69" s="545">
        <v>61.062416666666664</v>
      </c>
      <c r="L69" s="534">
        <v>467.25099999999998</v>
      </c>
      <c r="M69" s="273">
        <v>467.25099999999998</v>
      </c>
      <c r="N69" s="664">
        <v>467.25099999999998</v>
      </c>
      <c r="O69" s="546">
        <f t="shared" si="1"/>
        <v>100</v>
      </c>
      <c r="P69" s="540">
        <v>467.25099999999998</v>
      </c>
      <c r="Q69" s="489">
        <f t="shared" si="18"/>
        <v>100</v>
      </c>
      <c r="R69" s="436"/>
      <c r="T69" s="255">
        <v>1</v>
      </c>
      <c r="U69" s="255"/>
      <c r="V69" s="595">
        <f t="shared" si="19"/>
        <v>0</v>
      </c>
      <c r="W69" s="589">
        <f t="shared" si="20"/>
        <v>0</v>
      </c>
      <c r="AF69" s="598">
        <f t="shared" si="5"/>
        <v>0</v>
      </c>
    </row>
    <row r="70" spans="1:32" ht="31.2">
      <c r="A70" s="284">
        <f t="shared" si="27"/>
        <v>17</v>
      </c>
      <c r="B70" s="286" t="s">
        <v>201</v>
      </c>
      <c r="C70" s="414" t="s">
        <v>532</v>
      </c>
      <c r="D70" s="402">
        <v>8004525</v>
      </c>
      <c r="E70" s="273">
        <v>1500</v>
      </c>
      <c r="F70" s="221"/>
      <c r="G70" s="273">
        <v>1400</v>
      </c>
      <c r="H70" s="221">
        <v>131.71799999999999</v>
      </c>
      <c r="I70" s="540">
        <v>85.745999999999995</v>
      </c>
      <c r="J70" s="540">
        <v>45.971999999999994</v>
      </c>
      <c r="K70" s="545">
        <v>9.4084285714285709</v>
      </c>
      <c r="L70" s="534">
        <v>1268.2819999999999</v>
      </c>
      <c r="M70" s="273">
        <f>N70</f>
        <v>1268.2819999999999</v>
      </c>
      <c r="N70" s="664">
        <v>1268.2819999999999</v>
      </c>
      <c r="O70" s="546">
        <f t="shared" si="1"/>
        <v>100</v>
      </c>
      <c r="P70" s="540">
        <v>1268.2819999999999</v>
      </c>
      <c r="Q70" s="489">
        <f t="shared" si="18"/>
        <v>100</v>
      </c>
      <c r="R70" s="436"/>
      <c r="T70" s="255">
        <v>1</v>
      </c>
      <c r="U70" s="255"/>
      <c r="V70" s="595">
        <f t="shared" si="19"/>
        <v>0</v>
      </c>
      <c r="W70" s="589">
        <f t="shared" si="20"/>
        <v>0</v>
      </c>
      <c r="AF70" s="598">
        <f t="shared" si="5"/>
        <v>0</v>
      </c>
    </row>
    <row r="71" spans="1:32" ht="31.2">
      <c r="A71" s="284">
        <f t="shared" si="27"/>
        <v>18</v>
      </c>
      <c r="B71" s="276" t="s">
        <v>202</v>
      </c>
      <c r="C71" s="414" t="s">
        <v>532</v>
      </c>
      <c r="D71" s="402">
        <v>7991243</v>
      </c>
      <c r="E71" s="273">
        <v>4349</v>
      </c>
      <c r="F71" s="221"/>
      <c r="G71" s="273">
        <v>2000</v>
      </c>
      <c r="H71" s="221">
        <v>1450.643</v>
      </c>
      <c r="I71" s="540">
        <v>185.233</v>
      </c>
      <c r="J71" s="540">
        <v>1265.4100000000001</v>
      </c>
      <c r="K71" s="545">
        <v>72.532150000000001</v>
      </c>
      <c r="L71" s="534">
        <v>1115.837</v>
      </c>
      <c r="M71" s="273">
        <f>N71</f>
        <v>1115.837</v>
      </c>
      <c r="N71" s="664">
        <f>L71</f>
        <v>1115.837</v>
      </c>
      <c r="O71" s="546">
        <f t="shared" si="1"/>
        <v>100</v>
      </c>
      <c r="P71" s="540">
        <f>L71</f>
        <v>1115.837</v>
      </c>
      <c r="Q71" s="489">
        <f t="shared" si="18"/>
        <v>100</v>
      </c>
      <c r="R71" s="436"/>
      <c r="S71" s="532" t="s">
        <v>559</v>
      </c>
      <c r="T71" s="255">
        <v>1</v>
      </c>
      <c r="U71" s="255"/>
      <c r="V71" s="595">
        <f t="shared" si="19"/>
        <v>0</v>
      </c>
      <c r="W71" s="589">
        <f t="shared" si="20"/>
        <v>0</v>
      </c>
      <c r="AF71" s="598">
        <f t="shared" si="5"/>
        <v>0</v>
      </c>
    </row>
    <row r="72" spans="1:32" ht="46.8" customHeight="1">
      <c r="A72" s="284">
        <f t="shared" si="27"/>
        <v>19</v>
      </c>
      <c r="B72" s="285" t="s">
        <v>203</v>
      </c>
      <c r="C72" s="414" t="s">
        <v>532</v>
      </c>
      <c r="D72" s="402">
        <v>7995128</v>
      </c>
      <c r="E72" s="273">
        <v>4710</v>
      </c>
      <c r="F72" s="221"/>
      <c r="G72" s="273">
        <v>1750</v>
      </c>
      <c r="H72" s="221">
        <v>1406.2</v>
      </c>
      <c r="I72" s="540">
        <v>265.26400000000001</v>
      </c>
      <c r="J72" s="540">
        <v>1140.9360000000001</v>
      </c>
      <c r="K72" s="545">
        <v>80.354285714285709</v>
      </c>
      <c r="L72" s="534">
        <v>243.8</v>
      </c>
      <c r="M72" s="273">
        <f>N72</f>
        <v>19.329999999999998</v>
      </c>
      <c r="N72" s="664">
        <v>19.329999999999998</v>
      </c>
      <c r="O72" s="546">
        <f t="shared" si="1"/>
        <v>7.9286300246103352</v>
      </c>
      <c r="P72" s="540">
        <f>L72</f>
        <v>243.8</v>
      </c>
      <c r="Q72" s="489">
        <f t="shared" ref="Q72" si="29">P72/L72*100</f>
        <v>100</v>
      </c>
      <c r="R72" s="436"/>
      <c r="S72" s="532" t="s">
        <v>559</v>
      </c>
      <c r="T72" s="255">
        <v>1</v>
      </c>
      <c r="U72" s="255"/>
      <c r="V72" s="595">
        <f t="shared" ref="V72:V105" si="30">L72-N72</f>
        <v>224.47000000000003</v>
      </c>
      <c r="W72" s="589">
        <f t="shared" ref="W72:W105" si="31">M72-N72</f>
        <v>0</v>
      </c>
      <c r="AF72" s="598">
        <f t="shared" ref="AF72:AF137" si="32">L72-P72</f>
        <v>0</v>
      </c>
    </row>
    <row r="73" spans="1:32" ht="53.4" customHeight="1">
      <c r="A73" s="284">
        <f t="shared" si="27"/>
        <v>20</v>
      </c>
      <c r="B73" s="285" t="s">
        <v>204</v>
      </c>
      <c r="C73" s="414" t="s">
        <v>532</v>
      </c>
      <c r="D73" s="402">
        <v>7991244</v>
      </c>
      <c r="E73" s="273">
        <v>2336</v>
      </c>
      <c r="F73" s="221"/>
      <c r="G73" s="273">
        <v>400</v>
      </c>
      <c r="H73" s="221">
        <v>185.31299999999999</v>
      </c>
      <c r="I73" s="540">
        <v>127.65300000000001</v>
      </c>
      <c r="J73" s="540">
        <v>57.659999999999982</v>
      </c>
      <c r="K73" s="545">
        <v>46.328249999999997</v>
      </c>
      <c r="L73" s="534">
        <v>0</v>
      </c>
      <c r="M73" s="273"/>
      <c r="N73" s="664"/>
      <c r="O73" s="546"/>
      <c r="P73" s="540"/>
      <c r="Q73" s="489">
        <v>0</v>
      </c>
      <c r="R73" s="436"/>
      <c r="S73" s="532" t="s">
        <v>559</v>
      </c>
      <c r="T73" s="255">
        <v>1</v>
      </c>
      <c r="U73" s="255"/>
      <c r="V73" s="595">
        <f t="shared" si="30"/>
        <v>0</v>
      </c>
      <c r="W73" s="589">
        <f t="shared" si="31"/>
        <v>0</v>
      </c>
      <c r="AF73" s="598">
        <f t="shared" si="32"/>
        <v>0</v>
      </c>
    </row>
    <row r="74" spans="1:32" ht="31.2">
      <c r="A74" s="284">
        <f t="shared" si="27"/>
        <v>21</v>
      </c>
      <c r="B74" s="286" t="s">
        <v>205</v>
      </c>
      <c r="C74" s="414" t="s">
        <v>532</v>
      </c>
      <c r="D74" s="402">
        <v>7992023</v>
      </c>
      <c r="E74" s="273">
        <v>11520</v>
      </c>
      <c r="F74" s="221"/>
      <c r="G74" s="273">
        <v>3000</v>
      </c>
      <c r="H74" s="221">
        <v>2936.8589999999999</v>
      </c>
      <c r="I74" s="540">
        <v>361.80099999999999</v>
      </c>
      <c r="J74" s="540">
        <v>2575.058</v>
      </c>
      <c r="K74" s="545">
        <v>97.895299999999992</v>
      </c>
      <c r="L74" s="534">
        <v>63.141000000000076</v>
      </c>
      <c r="M74" s="273">
        <f>N74</f>
        <v>63.140999999999998</v>
      </c>
      <c r="N74" s="664">
        <v>63.140999999999998</v>
      </c>
      <c r="O74" s="546">
        <f t="shared" ref="O74:O137" si="33">N74/L74*100</f>
        <v>99.999999999999872</v>
      </c>
      <c r="P74" s="540">
        <v>63.141000000000076</v>
      </c>
      <c r="Q74" s="489">
        <f t="shared" ref="Q74:Q107" si="34">P74/L74*100</f>
        <v>100</v>
      </c>
      <c r="R74" s="436"/>
      <c r="T74" s="255">
        <v>1</v>
      </c>
      <c r="U74" s="255"/>
      <c r="V74" s="595">
        <f t="shared" si="30"/>
        <v>7.815970093361102E-14</v>
      </c>
      <c r="W74" s="589">
        <f t="shared" si="31"/>
        <v>0</v>
      </c>
      <c r="AF74" s="598">
        <f t="shared" si="32"/>
        <v>0</v>
      </c>
    </row>
    <row r="75" spans="1:32" ht="31.2">
      <c r="A75" s="284">
        <f t="shared" si="27"/>
        <v>22</v>
      </c>
      <c r="B75" s="274" t="s">
        <v>456</v>
      </c>
      <c r="C75" s="414" t="s">
        <v>181</v>
      </c>
      <c r="D75" s="402">
        <v>8004999</v>
      </c>
      <c r="E75" s="273">
        <v>500</v>
      </c>
      <c r="F75" s="221"/>
      <c r="G75" s="273">
        <v>500</v>
      </c>
      <c r="H75" s="221"/>
      <c r="I75" s="540">
        <v>0</v>
      </c>
      <c r="J75" s="540">
        <v>0</v>
      </c>
      <c r="K75" s="545">
        <v>0</v>
      </c>
      <c r="L75" s="534">
        <v>500</v>
      </c>
      <c r="M75" s="273">
        <f>N75</f>
        <v>470.91217999999998</v>
      </c>
      <c r="N75" s="664">
        <v>470.91217999999998</v>
      </c>
      <c r="O75" s="546">
        <f t="shared" si="33"/>
        <v>94.182435999999996</v>
      </c>
      <c r="P75" s="540">
        <v>500</v>
      </c>
      <c r="Q75" s="489">
        <f t="shared" si="34"/>
        <v>100</v>
      </c>
      <c r="R75" s="436"/>
      <c r="T75" s="255">
        <v>1</v>
      </c>
      <c r="U75" s="255">
        <v>1</v>
      </c>
      <c r="V75" s="595">
        <f t="shared" si="30"/>
        <v>29.087820000000022</v>
      </c>
      <c r="W75" s="589">
        <f t="shared" si="31"/>
        <v>0</v>
      </c>
      <c r="AF75" s="598">
        <f t="shared" si="32"/>
        <v>0</v>
      </c>
    </row>
    <row r="76" spans="1:32" ht="31.2">
      <c r="A76" s="284">
        <f t="shared" si="27"/>
        <v>23</v>
      </c>
      <c r="B76" s="286" t="s">
        <v>206</v>
      </c>
      <c r="C76" s="414" t="s">
        <v>532</v>
      </c>
      <c r="D76" s="402">
        <v>8000346</v>
      </c>
      <c r="E76" s="338">
        <v>2400</v>
      </c>
      <c r="F76" s="221"/>
      <c r="G76" s="273">
        <v>1800</v>
      </c>
      <c r="H76" s="221">
        <v>794.70699999999999</v>
      </c>
      <c r="I76" s="540">
        <v>109.318</v>
      </c>
      <c r="J76" s="540">
        <v>685.38900000000001</v>
      </c>
      <c r="K76" s="545">
        <v>44.150388888888884</v>
      </c>
      <c r="L76" s="534">
        <v>1005.293</v>
      </c>
      <c r="M76" s="273">
        <f>N76</f>
        <v>710.72500000000002</v>
      </c>
      <c r="N76" s="664">
        <v>710.72500000000002</v>
      </c>
      <c r="O76" s="546">
        <f t="shared" si="33"/>
        <v>70.698293930227308</v>
      </c>
      <c r="P76" s="540">
        <v>1005.293</v>
      </c>
      <c r="Q76" s="489">
        <f t="shared" si="34"/>
        <v>100</v>
      </c>
      <c r="R76" s="436"/>
      <c r="T76" s="255">
        <v>1</v>
      </c>
      <c r="U76" s="255"/>
      <c r="V76" s="595">
        <f t="shared" si="30"/>
        <v>294.56799999999998</v>
      </c>
      <c r="W76" s="589">
        <f t="shared" si="31"/>
        <v>0</v>
      </c>
      <c r="AF76" s="598">
        <f t="shared" si="32"/>
        <v>0</v>
      </c>
    </row>
    <row r="77" spans="1:32" ht="31.2">
      <c r="A77" s="374">
        <f t="shared" si="27"/>
        <v>24</v>
      </c>
      <c r="B77" s="375" t="s">
        <v>207</v>
      </c>
      <c r="C77" s="437" t="s">
        <v>532</v>
      </c>
      <c r="D77" s="438">
        <v>8003778</v>
      </c>
      <c r="E77" s="376">
        <v>3800</v>
      </c>
      <c r="F77" s="550"/>
      <c r="G77" s="376">
        <v>500</v>
      </c>
      <c r="H77" s="550">
        <v>352.83300000000003</v>
      </c>
      <c r="I77" s="551">
        <v>238.898</v>
      </c>
      <c r="J77" s="551">
        <v>113.93500000000003</v>
      </c>
      <c r="K77" s="552">
        <v>70.566600000000008</v>
      </c>
      <c r="L77" s="534">
        <v>147.16699999999997</v>
      </c>
      <c r="M77" s="273"/>
      <c r="N77" s="664"/>
      <c r="O77" s="546">
        <f t="shared" si="33"/>
        <v>0</v>
      </c>
      <c r="P77" s="540">
        <v>147.16699999999997</v>
      </c>
      <c r="Q77" s="489">
        <f t="shared" si="34"/>
        <v>100</v>
      </c>
      <c r="R77" s="436"/>
      <c r="S77" s="193"/>
      <c r="T77" s="193">
        <v>1</v>
      </c>
      <c r="U77" s="193"/>
      <c r="V77" s="595">
        <f t="shared" si="30"/>
        <v>147.16699999999997</v>
      </c>
      <c r="W77" s="589">
        <f t="shared" si="31"/>
        <v>0</v>
      </c>
      <c r="AF77" s="598">
        <f t="shared" si="32"/>
        <v>0</v>
      </c>
    </row>
    <row r="78" spans="1:32" ht="31.2">
      <c r="A78" s="284">
        <f t="shared" si="27"/>
        <v>25</v>
      </c>
      <c r="B78" s="285" t="s">
        <v>208</v>
      </c>
      <c r="C78" s="414" t="s">
        <v>532</v>
      </c>
      <c r="D78" s="402">
        <v>7992713</v>
      </c>
      <c r="E78" s="273">
        <v>2335</v>
      </c>
      <c r="F78" s="221"/>
      <c r="G78" s="273">
        <v>500</v>
      </c>
      <c r="H78" s="221">
        <v>213.53</v>
      </c>
      <c r="I78" s="540">
        <v>162.654</v>
      </c>
      <c r="J78" s="540">
        <v>50.876000000000005</v>
      </c>
      <c r="K78" s="545">
        <v>42.706000000000003</v>
      </c>
      <c r="L78" s="534">
        <v>286.47000000000003</v>
      </c>
      <c r="M78" s="273">
        <f>N78</f>
        <v>4.0469999999999997</v>
      </c>
      <c r="N78" s="664">
        <v>4.0469999999999997</v>
      </c>
      <c r="O78" s="546">
        <f t="shared" si="33"/>
        <v>1.4127133731280761</v>
      </c>
      <c r="P78" s="540">
        <v>286.47000000000003</v>
      </c>
      <c r="Q78" s="489">
        <f t="shared" si="34"/>
        <v>100</v>
      </c>
      <c r="R78" s="436"/>
      <c r="T78" s="255">
        <v>1</v>
      </c>
      <c r="U78" s="255"/>
      <c r="V78" s="595">
        <f t="shared" si="30"/>
        <v>282.423</v>
      </c>
      <c r="W78" s="589">
        <f t="shared" si="31"/>
        <v>0</v>
      </c>
      <c r="AF78" s="598">
        <f t="shared" si="32"/>
        <v>0</v>
      </c>
    </row>
    <row r="79" spans="1:32" ht="31.2">
      <c r="A79" s="284">
        <f t="shared" si="27"/>
        <v>26</v>
      </c>
      <c r="B79" s="286" t="s">
        <v>209</v>
      </c>
      <c r="C79" s="414" t="s">
        <v>532</v>
      </c>
      <c r="D79" s="402">
        <v>8006001</v>
      </c>
      <c r="E79" s="338">
        <v>3100</v>
      </c>
      <c r="F79" s="221"/>
      <c r="G79" s="273">
        <v>3000</v>
      </c>
      <c r="H79" s="221">
        <v>231.536</v>
      </c>
      <c r="I79" s="540">
        <v>122.26600000000001</v>
      </c>
      <c r="J79" s="540">
        <v>109.27</v>
      </c>
      <c r="K79" s="545">
        <v>7.7178666666666675</v>
      </c>
      <c r="L79" s="534">
        <v>2698.8110000000001</v>
      </c>
      <c r="M79" s="273">
        <v>1600</v>
      </c>
      <c r="N79" s="664">
        <v>1522.8689999999999</v>
      </c>
      <c r="O79" s="546">
        <f t="shared" si="33"/>
        <v>56.427404512579791</v>
      </c>
      <c r="P79" s="540">
        <f>L79</f>
        <v>2698.8110000000001</v>
      </c>
      <c r="Q79" s="489">
        <f t="shared" si="34"/>
        <v>100</v>
      </c>
      <c r="R79" s="436"/>
      <c r="S79" s="532" t="s">
        <v>559</v>
      </c>
      <c r="T79" s="255">
        <v>1</v>
      </c>
      <c r="U79" s="255"/>
      <c r="V79" s="595">
        <f t="shared" si="30"/>
        <v>1175.9420000000002</v>
      </c>
      <c r="W79" s="589">
        <f t="shared" si="31"/>
        <v>77.131000000000085</v>
      </c>
      <c r="AF79" s="598">
        <f t="shared" si="32"/>
        <v>0</v>
      </c>
    </row>
    <row r="80" spans="1:32" ht="31.2">
      <c r="A80" s="284">
        <f t="shared" si="27"/>
        <v>27</v>
      </c>
      <c r="B80" s="287" t="s">
        <v>211</v>
      </c>
      <c r="C80" s="414" t="s">
        <v>182</v>
      </c>
      <c r="D80" s="402">
        <v>8004008</v>
      </c>
      <c r="E80" s="273">
        <v>1000</v>
      </c>
      <c r="F80" s="221"/>
      <c r="G80" s="273">
        <v>800</v>
      </c>
      <c r="H80" s="221"/>
      <c r="I80" s="540">
        <v>0</v>
      </c>
      <c r="J80" s="540">
        <v>0</v>
      </c>
      <c r="K80" s="545">
        <v>0</v>
      </c>
      <c r="L80" s="534">
        <v>800</v>
      </c>
      <c r="M80" s="273">
        <v>800</v>
      </c>
      <c r="N80" s="664">
        <v>800</v>
      </c>
      <c r="O80" s="546">
        <f t="shared" si="33"/>
        <v>100</v>
      </c>
      <c r="P80" s="540">
        <v>800</v>
      </c>
      <c r="Q80" s="489">
        <f t="shared" si="34"/>
        <v>100</v>
      </c>
      <c r="R80" s="443"/>
      <c r="T80" s="255">
        <v>1</v>
      </c>
      <c r="U80" s="255">
        <v>1</v>
      </c>
      <c r="V80" s="595">
        <f t="shared" si="30"/>
        <v>0</v>
      </c>
      <c r="W80" s="589">
        <f t="shared" si="31"/>
        <v>0</v>
      </c>
      <c r="AF80" s="598">
        <f t="shared" si="32"/>
        <v>0</v>
      </c>
    </row>
    <row r="81" spans="1:32" ht="31.2">
      <c r="A81" s="284">
        <f t="shared" si="27"/>
        <v>28</v>
      </c>
      <c r="B81" s="286" t="s">
        <v>212</v>
      </c>
      <c r="C81" s="414" t="s">
        <v>532</v>
      </c>
      <c r="D81" s="402">
        <v>8006533</v>
      </c>
      <c r="E81" s="273">
        <v>2900</v>
      </c>
      <c r="F81" s="221"/>
      <c r="G81" s="273">
        <v>2300</v>
      </c>
      <c r="H81" s="221"/>
      <c r="I81" s="540">
        <v>0</v>
      </c>
      <c r="J81" s="540">
        <v>0</v>
      </c>
      <c r="K81" s="545">
        <v>0</v>
      </c>
      <c r="L81" s="534">
        <f>2300-1325.843</f>
        <v>974.15699999999993</v>
      </c>
      <c r="M81" s="273">
        <v>1000</v>
      </c>
      <c r="N81" s="664">
        <v>974.15700000000004</v>
      </c>
      <c r="O81" s="546">
        <f t="shared" si="33"/>
        <v>100.00000000000003</v>
      </c>
      <c r="P81" s="540">
        <v>2300</v>
      </c>
      <c r="Q81" s="489">
        <f t="shared" si="34"/>
        <v>236.10157294974016</v>
      </c>
      <c r="R81" s="443"/>
      <c r="S81" s="532" t="s">
        <v>641</v>
      </c>
      <c r="T81" s="255">
        <v>1</v>
      </c>
      <c r="U81" s="255"/>
      <c r="V81" s="595">
        <f t="shared" si="30"/>
        <v>0</v>
      </c>
      <c r="W81" s="589">
        <f t="shared" si="31"/>
        <v>25.842999999999961</v>
      </c>
      <c r="AF81" s="598">
        <f t="shared" si="32"/>
        <v>-1325.8430000000001</v>
      </c>
    </row>
    <row r="82" spans="1:32">
      <c r="A82" s="284">
        <f t="shared" si="27"/>
        <v>29</v>
      </c>
      <c r="B82" s="286" t="s">
        <v>457</v>
      </c>
      <c r="C82" s="414" t="s">
        <v>183</v>
      </c>
      <c r="D82" s="402">
        <v>7987328</v>
      </c>
      <c r="E82" s="273">
        <v>950</v>
      </c>
      <c r="F82" s="221"/>
      <c r="G82" s="273">
        <v>950</v>
      </c>
      <c r="H82" s="221"/>
      <c r="I82" s="540">
        <v>0</v>
      </c>
      <c r="J82" s="540">
        <v>0</v>
      </c>
      <c r="K82" s="545">
        <v>0</v>
      </c>
      <c r="L82" s="534">
        <v>950</v>
      </c>
      <c r="M82" s="273">
        <v>500</v>
      </c>
      <c r="N82" s="664">
        <v>718.38300000000004</v>
      </c>
      <c r="O82" s="546">
        <f t="shared" si="33"/>
        <v>75.61926315789475</v>
      </c>
      <c r="P82" s="540">
        <v>950</v>
      </c>
      <c r="Q82" s="489">
        <f t="shared" si="34"/>
        <v>100</v>
      </c>
      <c r="R82" s="436"/>
      <c r="T82" s="255">
        <v>1</v>
      </c>
      <c r="U82" s="255">
        <v>1</v>
      </c>
      <c r="V82" s="595">
        <f t="shared" si="30"/>
        <v>231.61699999999996</v>
      </c>
      <c r="W82" s="589">
        <f t="shared" si="31"/>
        <v>-218.38300000000004</v>
      </c>
      <c r="AF82" s="598">
        <f t="shared" si="32"/>
        <v>0</v>
      </c>
    </row>
    <row r="83" spans="1:32" ht="31.2">
      <c r="A83" s="284">
        <f t="shared" si="27"/>
        <v>30</v>
      </c>
      <c r="B83" s="274" t="s">
        <v>213</v>
      </c>
      <c r="C83" s="414" t="s">
        <v>532</v>
      </c>
      <c r="D83" s="402">
        <v>8007049</v>
      </c>
      <c r="E83" s="273">
        <v>1200</v>
      </c>
      <c r="F83" s="221"/>
      <c r="G83" s="273">
        <v>700</v>
      </c>
      <c r="H83" s="221">
        <v>75.995000000000005</v>
      </c>
      <c r="I83" s="540">
        <v>75.995000000000005</v>
      </c>
      <c r="J83" s="540">
        <v>0</v>
      </c>
      <c r="K83" s="545">
        <v>10.856428571428573</v>
      </c>
      <c r="L83" s="534">
        <v>624.005</v>
      </c>
      <c r="M83" s="273">
        <f t="shared" ref="M83:M87" si="35">N83</f>
        <v>624.005</v>
      </c>
      <c r="N83" s="664">
        <v>624.005</v>
      </c>
      <c r="O83" s="546">
        <f t="shared" si="33"/>
        <v>100</v>
      </c>
      <c r="P83" s="540">
        <v>624.005</v>
      </c>
      <c r="Q83" s="489">
        <f t="shared" si="34"/>
        <v>100</v>
      </c>
      <c r="R83" s="436"/>
      <c r="T83" s="255">
        <v>1</v>
      </c>
      <c r="U83" s="255"/>
      <c r="V83" s="595">
        <f t="shared" si="30"/>
        <v>0</v>
      </c>
      <c r="W83" s="589">
        <f t="shared" si="31"/>
        <v>0</v>
      </c>
      <c r="AF83" s="598">
        <f t="shared" si="32"/>
        <v>0</v>
      </c>
    </row>
    <row r="84" spans="1:32" ht="31.2">
      <c r="A84" s="284">
        <f t="shared" si="27"/>
        <v>31</v>
      </c>
      <c r="B84" s="288" t="s">
        <v>214</v>
      </c>
      <c r="C84" s="414" t="s">
        <v>532</v>
      </c>
      <c r="D84" s="402">
        <v>8003020</v>
      </c>
      <c r="E84" s="273">
        <v>2000</v>
      </c>
      <c r="F84" s="221"/>
      <c r="G84" s="273">
        <v>1000</v>
      </c>
      <c r="H84" s="221">
        <v>171.929</v>
      </c>
      <c r="I84" s="540">
        <v>111.495</v>
      </c>
      <c r="J84" s="540">
        <v>60.433999999999997</v>
      </c>
      <c r="K84" s="545">
        <v>17.192900000000002</v>
      </c>
      <c r="L84" s="534">
        <v>828.07100000000003</v>
      </c>
      <c r="M84" s="273">
        <f t="shared" si="35"/>
        <v>828.07100000000003</v>
      </c>
      <c r="N84" s="664">
        <v>828.07100000000003</v>
      </c>
      <c r="O84" s="546">
        <f t="shared" si="33"/>
        <v>100</v>
      </c>
      <c r="P84" s="540">
        <v>828.07100000000003</v>
      </c>
      <c r="Q84" s="489">
        <f t="shared" si="34"/>
        <v>100</v>
      </c>
      <c r="R84" s="436"/>
      <c r="T84" s="255">
        <v>1</v>
      </c>
      <c r="U84" s="255"/>
      <c r="V84" s="595">
        <f t="shared" si="30"/>
        <v>0</v>
      </c>
      <c r="W84" s="589">
        <f t="shared" si="31"/>
        <v>0</v>
      </c>
      <c r="AF84" s="598">
        <f t="shared" si="32"/>
        <v>0</v>
      </c>
    </row>
    <row r="85" spans="1:32" ht="31.2">
      <c r="A85" s="284">
        <f t="shared" si="27"/>
        <v>32</v>
      </c>
      <c r="B85" s="288" t="s">
        <v>458</v>
      </c>
      <c r="C85" s="414" t="s">
        <v>183</v>
      </c>
      <c r="D85" s="402">
        <v>7987327</v>
      </c>
      <c r="E85" s="273">
        <v>700</v>
      </c>
      <c r="F85" s="221"/>
      <c r="G85" s="273">
        <v>700</v>
      </c>
      <c r="H85" s="221"/>
      <c r="I85" s="540">
        <v>0</v>
      </c>
      <c r="J85" s="540">
        <v>0</v>
      </c>
      <c r="K85" s="545">
        <v>0</v>
      </c>
      <c r="L85" s="534">
        <v>700</v>
      </c>
      <c r="M85" s="273">
        <f>N85</f>
        <v>683.82799999999997</v>
      </c>
      <c r="N85" s="664">
        <v>683.82799999999997</v>
      </c>
      <c r="O85" s="546">
        <f t="shared" si="33"/>
        <v>97.689714285714274</v>
      </c>
      <c r="P85" s="540">
        <v>700</v>
      </c>
      <c r="Q85" s="489">
        <f t="shared" si="34"/>
        <v>100</v>
      </c>
      <c r="R85" s="436"/>
      <c r="T85" s="255">
        <v>1</v>
      </c>
      <c r="U85" s="255">
        <v>1</v>
      </c>
      <c r="V85" s="595">
        <f t="shared" si="30"/>
        <v>16.172000000000025</v>
      </c>
      <c r="W85" s="589">
        <f t="shared" si="31"/>
        <v>0</v>
      </c>
      <c r="AF85" s="598">
        <f t="shared" si="32"/>
        <v>0</v>
      </c>
    </row>
    <row r="86" spans="1:32" ht="31.2">
      <c r="A86" s="284">
        <f t="shared" si="27"/>
        <v>33</v>
      </c>
      <c r="B86" s="286" t="s">
        <v>215</v>
      </c>
      <c r="C86" s="414" t="s">
        <v>532</v>
      </c>
      <c r="D86" s="402">
        <v>8000341</v>
      </c>
      <c r="E86" s="273">
        <v>2400</v>
      </c>
      <c r="F86" s="221"/>
      <c r="G86" s="273">
        <v>2000</v>
      </c>
      <c r="H86" s="221">
        <v>784.82799999999997</v>
      </c>
      <c r="I86" s="540">
        <v>113.381</v>
      </c>
      <c r="J86" s="540">
        <v>671.447</v>
      </c>
      <c r="K86" s="545">
        <v>39.241399999999999</v>
      </c>
      <c r="L86" s="534">
        <v>1215.172</v>
      </c>
      <c r="M86" s="273">
        <f>N86</f>
        <v>1145.625</v>
      </c>
      <c r="N86" s="664">
        <v>1145.625</v>
      </c>
      <c r="O86" s="546">
        <f t="shared" si="33"/>
        <v>94.276777279265815</v>
      </c>
      <c r="P86" s="540">
        <v>1215.172</v>
      </c>
      <c r="Q86" s="489">
        <f t="shared" si="34"/>
        <v>100</v>
      </c>
      <c r="R86" s="436"/>
      <c r="T86" s="255">
        <v>1</v>
      </c>
      <c r="U86" s="255"/>
      <c r="V86" s="595">
        <f t="shared" si="30"/>
        <v>69.547000000000025</v>
      </c>
      <c r="W86" s="589">
        <f t="shared" si="31"/>
        <v>0</v>
      </c>
      <c r="AF86" s="598">
        <f t="shared" si="32"/>
        <v>0</v>
      </c>
    </row>
    <row r="87" spans="1:32" ht="31.2">
      <c r="A87" s="284">
        <f t="shared" si="27"/>
        <v>34</v>
      </c>
      <c r="B87" s="285" t="s">
        <v>216</v>
      </c>
      <c r="C87" s="414" t="s">
        <v>184</v>
      </c>
      <c r="D87" s="402">
        <v>7998775</v>
      </c>
      <c r="E87" s="273">
        <v>3400</v>
      </c>
      <c r="F87" s="221"/>
      <c r="G87" s="273">
        <v>2800</v>
      </c>
      <c r="H87" s="221"/>
      <c r="I87" s="540">
        <v>0</v>
      </c>
      <c r="J87" s="540">
        <v>0</v>
      </c>
      <c r="K87" s="545">
        <v>0</v>
      </c>
      <c r="L87" s="534">
        <v>2800</v>
      </c>
      <c r="M87" s="273">
        <f t="shared" si="35"/>
        <v>2800</v>
      </c>
      <c r="N87" s="664">
        <v>2800</v>
      </c>
      <c r="O87" s="546">
        <f t="shared" si="33"/>
        <v>100</v>
      </c>
      <c r="P87" s="540">
        <v>2800</v>
      </c>
      <c r="Q87" s="489">
        <f t="shared" si="34"/>
        <v>100</v>
      </c>
      <c r="R87" s="436"/>
      <c r="T87" s="255">
        <v>1</v>
      </c>
      <c r="U87" s="255">
        <v>1</v>
      </c>
      <c r="V87" s="595">
        <f t="shared" si="30"/>
        <v>0</v>
      </c>
      <c r="W87" s="589">
        <f t="shared" si="31"/>
        <v>0</v>
      </c>
      <c r="AF87" s="598">
        <f t="shared" si="32"/>
        <v>0</v>
      </c>
    </row>
    <row r="88" spans="1:32" ht="31.2">
      <c r="A88" s="284">
        <f t="shared" si="27"/>
        <v>35</v>
      </c>
      <c r="B88" s="285" t="s">
        <v>217</v>
      </c>
      <c r="C88" s="414" t="s">
        <v>184</v>
      </c>
      <c r="D88" s="402">
        <v>7998774</v>
      </c>
      <c r="E88" s="273">
        <v>3400</v>
      </c>
      <c r="F88" s="221"/>
      <c r="G88" s="273">
        <v>2800</v>
      </c>
      <c r="H88" s="221"/>
      <c r="I88" s="540">
        <v>0</v>
      </c>
      <c r="J88" s="540">
        <v>0</v>
      </c>
      <c r="K88" s="545">
        <v>0</v>
      </c>
      <c r="L88" s="534">
        <v>2800</v>
      </c>
      <c r="M88" s="273">
        <v>2400</v>
      </c>
      <c r="N88" s="664">
        <v>1626.5619999999999</v>
      </c>
      <c r="O88" s="546">
        <f t="shared" si="33"/>
        <v>58.091499999999996</v>
      </c>
      <c r="P88" s="540">
        <v>2800</v>
      </c>
      <c r="Q88" s="489">
        <f t="shared" si="34"/>
        <v>100</v>
      </c>
      <c r="R88" s="436"/>
      <c r="T88" s="255">
        <v>1</v>
      </c>
      <c r="U88" s="255">
        <v>1</v>
      </c>
      <c r="V88" s="595">
        <f t="shared" si="30"/>
        <v>1173.4380000000001</v>
      </c>
      <c r="W88" s="589">
        <f t="shared" si="31"/>
        <v>773.4380000000001</v>
      </c>
      <c r="AF88" s="598">
        <f t="shared" si="32"/>
        <v>0</v>
      </c>
    </row>
    <row r="89" spans="1:32" ht="39" customHeight="1">
      <c r="A89" s="284">
        <f t="shared" si="27"/>
        <v>36</v>
      </c>
      <c r="B89" s="285" t="s">
        <v>218</v>
      </c>
      <c r="C89" s="414" t="s">
        <v>532</v>
      </c>
      <c r="D89" s="402">
        <v>8006663</v>
      </c>
      <c r="E89" s="273">
        <v>2000</v>
      </c>
      <c r="F89" s="221"/>
      <c r="G89" s="273">
        <v>800</v>
      </c>
      <c r="H89" s="221"/>
      <c r="I89" s="540">
        <v>0</v>
      </c>
      <c r="J89" s="540">
        <v>0</v>
      </c>
      <c r="K89" s="545">
        <v>0</v>
      </c>
      <c r="L89" s="534">
        <v>617.86</v>
      </c>
      <c r="M89" s="273">
        <f>N89</f>
        <v>530.4</v>
      </c>
      <c r="N89" s="664">
        <v>530.4</v>
      </c>
      <c r="O89" s="546">
        <f t="shared" si="33"/>
        <v>85.844689735538793</v>
      </c>
      <c r="P89" s="540">
        <f>L89</f>
        <v>617.86</v>
      </c>
      <c r="Q89" s="489">
        <f t="shared" si="34"/>
        <v>100</v>
      </c>
      <c r="R89" s="436"/>
      <c r="S89" s="532" t="s">
        <v>308</v>
      </c>
      <c r="T89" s="255">
        <v>1</v>
      </c>
      <c r="U89" s="255"/>
      <c r="V89" s="595">
        <f t="shared" si="30"/>
        <v>87.460000000000036</v>
      </c>
      <c r="W89" s="589">
        <f t="shared" si="31"/>
        <v>0</v>
      </c>
      <c r="AF89" s="598">
        <f t="shared" si="32"/>
        <v>0</v>
      </c>
    </row>
    <row r="90" spans="1:32" ht="31.2">
      <c r="A90" s="284">
        <f t="shared" si="27"/>
        <v>37</v>
      </c>
      <c r="B90" s="288" t="s">
        <v>219</v>
      </c>
      <c r="C90" s="414" t="s">
        <v>184</v>
      </c>
      <c r="D90" s="402">
        <v>8000357</v>
      </c>
      <c r="E90" s="273">
        <v>2500</v>
      </c>
      <c r="F90" s="221"/>
      <c r="G90" s="273">
        <v>2200</v>
      </c>
      <c r="H90" s="221"/>
      <c r="I90" s="540">
        <v>0</v>
      </c>
      <c r="J90" s="540">
        <v>0</v>
      </c>
      <c r="K90" s="545">
        <v>0</v>
      </c>
      <c r="L90" s="534">
        <v>2200</v>
      </c>
      <c r="M90" s="273">
        <v>2200</v>
      </c>
      <c r="N90" s="664">
        <v>2200</v>
      </c>
      <c r="O90" s="546">
        <f t="shared" si="33"/>
        <v>100</v>
      </c>
      <c r="P90" s="540">
        <v>2200</v>
      </c>
      <c r="Q90" s="489">
        <f t="shared" si="34"/>
        <v>100</v>
      </c>
      <c r="R90" s="443"/>
      <c r="T90" s="255">
        <v>1</v>
      </c>
      <c r="U90" s="255">
        <v>1</v>
      </c>
      <c r="V90" s="595">
        <f t="shared" si="30"/>
        <v>0</v>
      </c>
      <c r="W90" s="589">
        <f t="shared" si="31"/>
        <v>0</v>
      </c>
      <c r="AF90" s="598">
        <f t="shared" si="32"/>
        <v>0</v>
      </c>
    </row>
    <row r="91" spans="1:32" ht="31.2">
      <c r="A91" s="284">
        <f t="shared" si="27"/>
        <v>38</v>
      </c>
      <c r="B91" s="285" t="s">
        <v>459</v>
      </c>
      <c r="C91" s="414" t="s">
        <v>185</v>
      </c>
      <c r="D91" s="402">
        <v>7998193</v>
      </c>
      <c r="E91" s="273">
        <v>2600</v>
      </c>
      <c r="F91" s="221"/>
      <c r="G91" s="273">
        <v>2600</v>
      </c>
      <c r="H91" s="221"/>
      <c r="I91" s="540">
        <v>0</v>
      </c>
      <c r="J91" s="540">
        <v>0</v>
      </c>
      <c r="K91" s="545">
        <v>0</v>
      </c>
      <c r="L91" s="534">
        <v>2600</v>
      </c>
      <c r="M91" s="273">
        <f>N91</f>
        <v>2556.0410000000002</v>
      </c>
      <c r="N91" s="664">
        <v>2556.0410000000002</v>
      </c>
      <c r="O91" s="546">
        <f t="shared" si="33"/>
        <v>98.309269230769232</v>
      </c>
      <c r="P91" s="540">
        <v>2600</v>
      </c>
      <c r="Q91" s="489">
        <f t="shared" si="34"/>
        <v>100</v>
      </c>
      <c r="R91" s="443"/>
      <c r="T91" s="255">
        <v>1</v>
      </c>
      <c r="U91" s="255">
        <v>1</v>
      </c>
      <c r="V91" s="595">
        <f t="shared" si="30"/>
        <v>43.958999999999833</v>
      </c>
      <c r="W91" s="589">
        <f t="shared" si="31"/>
        <v>0</v>
      </c>
      <c r="AF91" s="598">
        <f t="shared" si="32"/>
        <v>0</v>
      </c>
    </row>
    <row r="92" spans="1:32" ht="31.2">
      <c r="A92" s="284">
        <f t="shared" si="27"/>
        <v>39</v>
      </c>
      <c r="B92" s="285" t="s">
        <v>220</v>
      </c>
      <c r="C92" s="414" t="s">
        <v>532</v>
      </c>
      <c r="D92" s="402">
        <v>8006000</v>
      </c>
      <c r="E92" s="273">
        <v>1000</v>
      </c>
      <c r="F92" s="221"/>
      <c r="G92" s="273">
        <v>800</v>
      </c>
      <c r="H92" s="221">
        <v>363.85700000000003</v>
      </c>
      <c r="I92" s="540">
        <v>104.343</v>
      </c>
      <c r="J92" s="540">
        <v>259.51400000000001</v>
      </c>
      <c r="K92" s="545">
        <v>45.482125000000003</v>
      </c>
      <c r="L92" s="534">
        <v>436.14299999999997</v>
      </c>
      <c r="M92" s="273">
        <f t="shared" ref="M92:M96" si="36">N92</f>
        <v>436.14299999999997</v>
      </c>
      <c r="N92" s="664">
        <v>436.14299999999997</v>
      </c>
      <c r="O92" s="546">
        <f t="shared" si="33"/>
        <v>100</v>
      </c>
      <c r="P92" s="540">
        <v>436.14299999999997</v>
      </c>
      <c r="Q92" s="489">
        <f t="shared" si="34"/>
        <v>100</v>
      </c>
      <c r="R92" s="436"/>
      <c r="T92" s="255">
        <v>1</v>
      </c>
      <c r="U92" s="255"/>
      <c r="V92" s="595">
        <f t="shared" si="30"/>
        <v>0</v>
      </c>
      <c r="W92" s="589">
        <f t="shared" si="31"/>
        <v>0</v>
      </c>
      <c r="AF92" s="598">
        <f t="shared" si="32"/>
        <v>0</v>
      </c>
    </row>
    <row r="93" spans="1:32" ht="46.8">
      <c r="A93" s="284">
        <f t="shared" si="27"/>
        <v>40</v>
      </c>
      <c r="B93" s="285" t="s">
        <v>221</v>
      </c>
      <c r="C93" s="414" t="s">
        <v>532</v>
      </c>
      <c r="D93" s="402">
        <v>8000345</v>
      </c>
      <c r="E93" s="273">
        <v>900</v>
      </c>
      <c r="F93" s="221"/>
      <c r="G93" s="273">
        <v>700</v>
      </c>
      <c r="H93" s="221"/>
      <c r="I93" s="540">
        <v>0</v>
      </c>
      <c r="J93" s="540">
        <v>0</v>
      </c>
      <c r="K93" s="545">
        <v>0</v>
      </c>
      <c r="L93" s="534">
        <v>700</v>
      </c>
      <c r="M93" s="273">
        <f>L93</f>
        <v>700</v>
      </c>
      <c r="N93" s="664">
        <f>L93</f>
        <v>700</v>
      </c>
      <c r="O93" s="546">
        <f t="shared" si="33"/>
        <v>100</v>
      </c>
      <c r="P93" s="540">
        <v>700</v>
      </c>
      <c r="Q93" s="489">
        <f t="shared" si="34"/>
        <v>100</v>
      </c>
      <c r="R93" s="436"/>
      <c r="T93" s="255">
        <v>1</v>
      </c>
      <c r="U93" s="255"/>
      <c r="V93" s="595">
        <f t="shared" si="30"/>
        <v>0</v>
      </c>
      <c r="W93" s="589">
        <f t="shared" si="31"/>
        <v>0</v>
      </c>
      <c r="AF93" s="598">
        <f t="shared" si="32"/>
        <v>0</v>
      </c>
    </row>
    <row r="94" spans="1:32" ht="31.2">
      <c r="A94" s="284">
        <f t="shared" si="27"/>
        <v>41</v>
      </c>
      <c r="B94" s="286" t="s">
        <v>222</v>
      </c>
      <c r="C94" s="414" t="s">
        <v>532</v>
      </c>
      <c r="D94" s="402">
        <v>8002020</v>
      </c>
      <c r="E94" s="273">
        <v>1658</v>
      </c>
      <c r="F94" s="221"/>
      <c r="G94" s="273">
        <v>1300</v>
      </c>
      <c r="H94" s="221">
        <v>310.33300000000003</v>
      </c>
      <c r="I94" s="540">
        <v>80.831000000000003</v>
      </c>
      <c r="J94" s="540">
        <v>229.50200000000001</v>
      </c>
      <c r="K94" s="545">
        <v>23.871769230769232</v>
      </c>
      <c r="L94" s="534">
        <v>989.66699999999992</v>
      </c>
      <c r="M94" s="273">
        <v>600</v>
      </c>
      <c r="N94" s="664">
        <v>561.33900000000006</v>
      </c>
      <c r="O94" s="546">
        <f t="shared" si="33"/>
        <v>56.719987632203569</v>
      </c>
      <c r="P94" s="540">
        <v>989.66699999999992</v>
      </c>
      <c r="Q94" s="489">
        <f t="shared" si="34"/>
        <v>100</v>
      </c>
      <c r="R94" s="436"/>
      <c r="T94" s="255">
        <v>1</v>
      </c>
      <c r="U94" s="255"/>
      <c r="V94" s="595">
        <f t="shared" si="30"/>
        <v>428.32799999999986</v>
      </c>
      <c r="W94" s="589">
        <f t="shared" si="31"/>
        <v>38.660999999999945</v>
      </c>
      <c r="AF94" s="598">
        <f t="shared" si="32"/>
        <v>0</v>
      </c>
    </row>
    <row r="95" spans="1:32" ht="31.2">
      <c r="A95" s="284">
        <f t="shared" si="27"/>
        <v>42</v>
      </c>
      <c r="B95" s="285" t="s">
        <v>223</v>
      </c>
      <c r="C95" s="414" t="s">
        <v>532</v>
      </c>
      <c r="D95" s="402">
        <v>8006006</v>
      </c>
      <c r="E95" s="273">
        <v>1000</v>
      </c>
      <c r="F95" s="221"/>
      <c r="G95" s="273">
        <v>800</v>
      </c>
      <c r="H95" s="221">
        <v>299.745</v>
      </c>
      <c r="I95" s="540">
        <v>60.298000000000002</v>
      </c>
      <c r="J95" s="540">
        <v>239.447</v>
      </c>
      <c r="K95" s="545">
        <v>37.468125000000001</v>
      </c>
      <c r="L95" s="534">
        <v>500.255</v>
      </c>
      <c r="M95" s="273">
        <f t="shared" si="36"/>
        <v>500.255</v>
      </c>
      <c r="N95" s="664">
        <v>500.255</v>
      </c>
      <c r="O95" s="546">
        <f t="shared" si="33"/>
        <v>100</v>
      </c>
      <c r="P95" s="540">
        <v>500.255</v>
      </c>
      <c r="Q95" s="489">
        <f t="shared" si="34"/>
        <v>100</v>
      </c>
      <c r="R95" s="436"/>
      <c r="T95" s="255">
        <v>1</v>
      </c>
      <c r="U95" s="255"/>
      <c r="V95" s="595">
        <f t="shared" si="30"/>
        <v>0</v>
      </c>
      <c r="W95" s="589">
        <f t="shared" si="31"/>
        <v>0</v>
      </c>
      <c r="AF95" s="598">
        <f t="shared" si="32"/>
        <v>0</v>
      </c>
    </row>
    <row r="96" spans="1:32" ht="31.2">
      <c r="A96" s="284">
        <f t="shared" si="27"/>
        <v>43</v>
      </c>
      <c r="B96" s="287" t="s">
        <v>224</v>
      </c>
      <c r="C96" s="414" t="s">
        <v>532</v>
      </c>
      <c r="D96" s="402">
        <v>8000343</v>
      </c>
      <c r="E96" s="273">
        <v>1988</v>
      </c>
      <c r="F96" s="221"/>
      <c r="G96" s="273">
        <v>1300</v>
      </c>
      <c r="H96" s="221">
        <v>642.95600000000002</v>
      </c>
      <c r="I96" s="540">
        <v>109.377</v>
      </c>
      <c r="J96" s="540">
        <v>533.57900000000006</v>
      </c>
      <c r="K96" s="545">
        <v>49.458153846153849</v>
      </c>
      <c r="L96" s="534">
        <v>657.04399999999998</v>
      </c>
      <c r="M96" s="273">
        <f t="shared" si="36"/>
        <v>657.04399999999998</v>
      </c>
      <c r="N96" s="664">
        <v>657.04399999999998</v>
      </c>
      <c r="O96" s="546">
        <f t="shared" si="33"/>
        <v>100</v>
      </c>
      <c r="P96" s="540">
        <v>657.04399999999998</v>
      </c>
      <c r="Q96" s="489">
        <f t="shared" si="34"/>
        <v>100</v>
      </c>
      <c r="R96" s="436"/>
      <c r="T96" s="255">
        <v>1</v>
      </c>
      <c r="U96" s="255"/>
      <c r="V96" s="595">
        <f t="shared" si="30"/>
        <v>0</v>
      </c>
      <c r="W96" s="589">
        <f t="shared" si="31"/>
        <v>0</v>
      </c>
      <c r="AF96" s="598">
        <f t="shared" si="32"/>
        <v>0</v>
      </c>
    </row>
    <row r="97" spans="1:32" ht="31.2">
      <c r="A97" s="284">
        <v>45</v>
      </c>
      <c r="B97" s="286" t="s">
        <v>225</v>
      </c>
      <c r="C97" s="414" t="s">
        <v>532</v>
      </c>
      <c r="D97" s="402">
        <v>7990628</v>
      </c>
      <c r="E97" s="273">
        <v>3400</v>
      </c>
      <c r="F97" s="221"/>
      <c r="G97" s="273">
        <v>2300</v>
      </c>
      <c r="H97" s="273">
        <v>1085.7439999999999</v>
      </c>
      <c r="I97" s="540">
        <v>134.71600000000001</v>
      </c>
      <c r="J97" s="540">
        <v>951.02799999999991</v>
      </c>
      <c r="K97" s="545">
        <v>47.206260869565213</v>
      </c>
      <c r="L97" s="534">
        <v>1214.2560000000001</v>
      </c>
      <c r="M97" s="273">
        <f>N97</f>
        <v>857.83900000000006</v>
      </c>
      <c r="N97" s="664">
        <v>857.83900000000006</v>
      </c>
      <c r="O97" s="546">
        <f t="shared" si="33"/>
        <v>70.647293486711206</v>
      </c>
      <c r="P97" s="540">
        <v>1214.2560000000001</v>
      </c>
      <c r="Q97" s="489">
        <f t="shared" si="34"/>
        <v>100</v>
      </c>
      <c r="R97" s="436"/>
      <c r="T97" s="255">
        <v>1</v>
      </c>
      <c r="U97" s="255"/>
      <c r="V97" s="595">
        <f t="shared" si="30"/>
        <v>356.41700000000003</v>
      </c>
      <c r="W97" s="589">
        <f t="shared" si="31"/>
        <v>0</v>
      </c>
      <c r="AF97" s="598">
        <f t="shared" si="32"/>
        <v>0</v>
      </c>
    </row>
    <row r="98" spans="1:32" ht="31.2">
      <c r="A98" s="284">
        <f t="shared" si="27"/>
        <v>46</v>
      </c>
      <c r="B98" s="286" t="s">
        <v>226</v>
      </c>
      <c r="C98" s="414" t="s">
        <v>532</v>
      </c>
      <c r="D98" s="402">
        <v>8000344</v>
      </c>
      <c r="E98" s="273">
        <v>2700</v>
      </c>
      <c r="F98" s="221"/>
      <c r="G98" s="273">
        <v>1800</v>
      </c>
      <c r="H98" s="221">
        <v>868.98299999999995</v>
      </c>
      <c r="I98" s="540">
        <v>117.764</v>
      </c>
      <c r="J98" s="540">
        <v>751.21899999999994</v>
      </c>
      <c r="K98" s="545">
        <v>48.276833333333329</v>
      </c>
      <c r="L98" s="534">
        <v>931.01700000000005</v>
      </c>
      <c r="M98" s="273">
        <f>N98</f>
        <v>696.95899999999995</v>
      </c>
      <c r="N98" s="664">
        <v>696.95899999999995</v>
      </c>
      <c r="O98" s="546">
        <f t="shared" si="33"/>
        <v>74.859964963045783</v>
      </c>
      <c r="P98" s="540">
        <v>931.01700000000005</v>
      </c>
      <c r="Q98" s="489">
        <f t="shared" si="34"/>
        <v>100</v>
      </c>
      <c r="R98" s="436"/>
      <c r="T98" s="255">
        <v>1</v>
      </c>
      <c r="U98" s="255"/>
      <c r="V98" s="595">
        <f t="shared" si="30"/>
        <v>234.05800000000011</v>
      </c>
      <c r="W98" s="589">
        <f t="shared" si="31"/>
        <v>0</v>
      </c>
      <c r="AF98" s="598">
        <f t="shared" si="32"/>
        <v>0</v>
      </c>
    </row>
    <row r="99" spans="1:32" ht="31.2">
      <c r="A99" s="284">
        <v>47</v>
      </c>
      <c r="B99" s="286" t="s">
        <v>350</v>
      </c>
      <c r="C99" s="414" t="s">
        <v>532</v>
      </c>
      <c r="D99" s="402">
        <v>8022246</v>
      </c>
      <c r="E99" s="273">
        <v>3000</v>
      </c>
      <c r="F99" s="221"/>
      <c r="G99" s="273"/>
      <c r="H99" s="221"/>
      <c r="I99" s="540"/>
      <c r="J99" s="540"/>
      <c r="K99" s="545"/>
      <c r="L99" s="534">
        <v>835.84299999999996</v>
      </c>
      <c r="M99" s="273">
        <f>L99</f>
        <v>835.84299999999996</v>
      </c>
      <c r="N99" s="664">
        <f>M99</f>
        <v>835.84299999999996</v>
      </c>
      <c r="O99" s="546">
        <f t="shared" si="33"/>
        <v>100</v>
      </c>
      <c r="P99" s="540">
        <f>L99</f>
        <v>835.84299999999996</v>
      </c>
      <c r="Q99" s="489">
        <f t="shared" si="34"/>
        <v>100</v>
      </c>
      <c r="R99" s="436"/>
      <c r="S99" s="365" t="s">
        <v>642</v>
      </c>
      <c r="T99" s="255"/>
      <c r="U99" s="255"/>
      <c r="V99" s="595"/>
      <c r="W99" s="589"/>
      <c r="AF99" s="598"/>
    </row>
    <row r="100" spans="1:32" ht="31.2">
      <c r="A100" s="284">
        <v>48</v>
      </c>
      <c r="B100" s="286" t="s">
        <v>352</v>
      </c>
      <c r="C100" s="414" t="s">
        <v>532</v>
      </c>
      <c r="D100" s="402">
        <v>8025352</v>
      </c>
      <c r="E100" s="273">
        <v>3000</v>
      </c>
      <c r="F100" s="221"/>
      <c r="G100" s="273"/>
      <c r="H100" s="221"/>
      <c r="I100" s="540"/>
      <c r="J100" s="540"/>
      <c r="K100" s="545"/>
      <c r="L100" s="534">
        <v>490</v>
      </c>
      <c r="M100" s="273">
        <v>490</v>
      </c>
      <c r="N100" s="664">
        <v>490</v>
      </c>
      <c r="O100" s="546">
        <f t="shared" si="33"/>
        <v>100</v>
      </c>
      <c r="P100" s="540">
        <f>L100</f>
        <v>490</v>
      </c>
      <c r="Q100" s="489">
        <f t="shared" si="34"/>
        <v>100</v>
      </c>
      <c r="R100" s="436"/>
      <c r="S100" s="365" t="s">
        <v>642</v>
      </c>
      <c r="T100" s="255"/>
      <c r="U100" s="255"/>
      <c r="V100" s="595"/>
      <c r="W100" s="589"/>
      <c r="AF100" s="598"/>
    </row>
    <row r="101" spans="1:32" s="196" customFormat="1" ht="31.2">
      <c r="A101" s="280" t="s">
        <v>18</v>
      </c>
      <c r="B101" s="289" t="s">
        <v>227</v>
      </c>
      <c r="C101" s="252"/>
      <c r="D101" s="252"/>
      <c r="E101" s="259">
        <f>E102+E104</f>
        <v>11500</v>
      </c>
      <c r="F101" s="259">
        <f t="shared" ref="F101:N101" si="37">F102+F104</f>
        <v>0</v>
      </c>
      <c r="G101" s="259">
        <f t="shared" si="37"/>
        <v>4934</v>
      </c>
      <c r="H101" s="259">
        <f t="shared" si="37"/>
        <v>3289.5740000000001</v>
      </c>
      <c r="I101" s="259">
        <f t="shared" si="37"/>
        <v>452.738</v>
      </c>
      <c r="J101" s="259">
        <f t="shared" si="37"/>
        <v>2836.8359999999998</v>
      </c>
      <c r="K101" s="259">
        <f t="shared" si="37"/>
        <v>88.231016488222707</v>
      </c>
      <c r="L101" s="665">
        <f t="shared" si="37"/>
        <v>1644.4260000000002</v>
      </c>
      <c r="M101" s="259">
        <f t="shared" si="37"/>
        <v>1644.4259999999999</v>
      </c>
      <c r="N101" s="666">
        <f t="shared" si="37"/>
        <v>1644.4259999999999</v>
      </c>
      <c r="O101" s="544">
        <f t="shared" si="33"/>
        <v>99.999999999999986</v>
      </c>
      <c r="P101" s="430">
        <v>1644.4260000000002</v>
      </c>
      <c r="Q101" s="488">
        <f t="shared" si="34"/>
        <v>100</v>
      </c>
      <c r="R101" s="511"/>
      <c r="S101" s="253"/>
      <c r="T101" s="253"/>
      <c r="U101" s="253"/>
      <c r="V101" s="595">
        <f t="shared" si="30"/>
        <v>0</v>
      </c>
      <c r="W101" s="589">
        <f t="shared" si="31"/>
        <v>0</v>
      </c>
      <c r="AF101" s="598">
        <f t="shared" si="32"/>
        <v>0</v>
      </c>
    </row>
    <row r="102" spans="1:32" s="196" customFormat="1" ht="32.4">
      <c r="A102" s="290">
        <v>1</v>
      </c>
      <c r="B102" s="291" t="s">
        <v>228</v>
      </c>
      <c r="C102" s="252"/>
      <c r="D102" s="252"/>
      <c r="E102" s="339">
        <f>E103</f>
        <v>10000</v>
      </c>
      <c r="F102" s="339">
        <f t="shared" ref="F102:N102" si="38">F103</f>
        <v>0</v>
      </c>
      <c r="G102" s="339">
        <f t="shared" si="38"/>
        <v>4000</v>
      </c>
      <c r="H102" s="339">
        <f t="shared" si="38"/>
        <v>3216.5639999999999</v>
      </c>
      <c r="I102" s="339">
        <f t="shared" si="38"/>
        <v>379.72800000000001</v>
      </c>
      <c r="J102" s="339">
        <f t="shared" si="38"/>
        <v>2836.8359999999998</v>
      </c>
      <c r="K102" s="339">
        <f t="shared" si="38"/>
        <v>80.414100000000005</v>
      </c>
      <c r="L102" s="667">
        <f t="shared" si="38"/>
        <v>783.43600000000015</v>
      </c>
      <c r="M102" s="339">
        <f t="shared" si="38"/>
        <v>783.43600000000004</v>
      </c>
      <c r="N102" s="668">
        <f t="shared" si="38"/>
        <v>783.43600000000004</v>
      </c>
      <c r="O102" s="544">
        <f t="shared" si="33"/>
        <v>99.999999999999986</v>
      </c>
      <c r="P102" s="541">
        <v>783.43600000000015</v>
      </c>
      <c r="Q102" s="488">
        <f t="shared" si="34"/>
        <v>100</v>
      </c>
      <c r="R102" s="512"/>
      <c r="S102" s="253"/>
      <c r="T102" s="253"/>
      <c r="U102" s="253"/>
      <c r="V102" s="595">
        <f t="shared" si="30"/>
        <v>0</v>
      </c>
      <c r="W102" s="589">
        <f t="shared" si="31"/>
        <v>0</v>
      </c>
      <c r="AF102" s="598">
        <f t="shared" si="32"/>
        <v>0</v>
      </c>
    </row>
    <row r="103" spans="1:32" ht="46.8">
      <c r="A103" s="292" t="s">
        <v>35</v>
      </c>
      <c r="B103" s="293" t="s">
        <v>229</v>
      </c>
      <c r="C103" s="414" t="s">
        <v>532</v>
      </c>
      <c r="D103" s="402">
        <v>7992024</v>
      </c>
      <c r="E103" s="273">
        <v>10000</v>
      </c>
      <c r="F103" s="221"/>
      <c r="G103" s="273">
        <v>4000</v>
      </c>
      <c r="H103" s="273">
        <v>3216.5639999999999</v>
      </c>
      <c r="I103" s="540">
        <v>379.72800000000001</v>
      </c>
      <c r="J103" s="540">
        <v>2836.8359999999998</v>
      </c>
      <c r="K103" s="545">
        <v>80.414100000000005</v>
      </c>
      <c r="L103" s="534">
        <v>783.43600000000015</v>
      </c>
      <c r="M103" s="273">
        <f>N103</f>
        <v>783.43600000000004</v>
      </c>
      <c r="N103" s="664">
        <v>783.43600000000004</v>
      </c>
      <c r="O103" s="546">
        <f t="shared" si="33"/>
        <v>99.999999999999986</v>
      </c>
      <c r="P103" s="540">
        <v>783.43600000000015</v>
      </c>
      <c r="Q103" s="489">
        <f t="shared" si="34"/>
        <v>100</v>
      </c>
      <c r="R103" s="436"/>
      <c r="T103" s="255">
        <v>1</v>
      </c>
      <c r="U103" s="255"/>
      <c r="V103" s="595">
        <f t="shared" si="30"/>
        <v>0</v>
      </c>
      <c r="W103" s="589">
        <f t="shared" si="31"/>
        <v>0</v>
      </c>
      <c r="AF103" s="598">
        <f t="shared" si="32"/>
        <v>0</v>
      </c>
    </row>
    <row r="104" spans="1:32" s="196" customFormat="1" ht="16.2">
      <c r="A104" s="290">
        <v>2</v>
      </c>
      <c r="B104" s="291" t="s">
        <v>230</v>
      </c>
      <c r="C104" s="252"/>
      <c r="D104" s="340"/>
      <c r="E104" s="339">
        <f>E105</f>
        <v>1500</v>
      </c>
      <c r="F104" s="339">
        <f t="shared" ref="F104:N104" si="39">F105</f>
        <v>0</v>
      </c>
      <c r="G104" s="339">
        <f t="shared" si="39"/>
        <v>934</v>
      </c>
      <c r="H104" s="339">
        <f t="shared" si="39"/>
        <v>73.010000000000005</v>
      </c>
      <c r="I104" s="339">
        <f t="shared" si="39"/>
        <v>73.010000000000005</v>
      </c>
      <c r="J104" s="339">
        <f t="shared" si="39"/>
        <v>0</v>
      </c>
      <c r="K104" s="339">
        <f t="shared" si="39"/>
        <v>7.8169164882226987</v>
      </c>
      <c r="L104" s="667">
        <f t="shared" si="39"/>
        <v>860.99</v>
      </c>
      <c r="M104" s="339">
        <f t="shared" si="39"/>
        <v>860.99</v>
      </c>
      <c r="N104" s="668">
        <f t="shared" si="39"/>
        <v>860.99</v>
      </c>
      <c r="O104" s="544">
        <f t="shared" si="33"/>
        <v>100</v>
      </c>
      <c r="P104" s="541">
        <v>860.99</v>
      </c>
      <c r="Q104" s="488">
        <f t="shared" si="34"/>
        <v>100</v>
      </c>
      <c r="R104" s="512"/>
      <c r="S104" s="253"/>
      <c r="T104" s="253"/>
      <c r="U104" s="253"/>
      <c r="V104" s="595">
        <f t="shared" si="30"/>
        <v>0</v>
      </c>
      <c r="W104" s="589">
        <f t="shared" si="31"/>
        <v>0</v>
      </c>
      <c r="AF104" s="598">
        <f t="shared" si="32"/>
        <v>0</v>
      </c>
    </row>
    <row r="105" spans="1:32" ht="46.8">
      <c r="A105" s="294" t="s">
        <v>35</v>
      </c>
      <c r="B105" s="295" t="s">
        <v>231</v>
      </c>
      <c r="C105" s="414" t="s">
        <v>532</v>
      </c>
      <c r="D105" s="402">
        <v>8004519</v>
      </c>
      <c r="E105" s="273">
        <v>1500</v>
      </c>
      <c r="F105" s="221"/>
      <c r="G105" s="273">
        <v>934</v>
      </c>
      <c r="H105" s="221">
        <v>73.010000000000005</v>
      </c>
      <c r="I105" s="540">
        <v>73.010000000000005</v>
      </c>
      <c r="J105" s="540">
        <v>0</v>
      </c>
      <c r="K105" s="545">
        <v>7.8169164882226987</v>
      </c>
      <c r="L105" s="534">
        <v>860.99</v>
      </c>
      <c r="M105" s="273">
        <f>N105</f>
        <v>860.99</v>
      </c>
      <c r="N105" s="664">
        <v>860.99</v>
      </c>
      <c r="O105" s="546">
        <f t="shared" si="33"/>
        <v>100</v>
      </c>
      <c r="P105" s="540">
        <v>860.99</v>
      </c>
      <c r="Q105" s="489">
        <f t="shared" si="34"/>
        <v>100</v>
      </c>
      <c r="R105" s="436"/>
      <c r="T105" s="255">
        <v>1</v>
      </c>
      <c r="U105" s="255"/>
      <c r="V105" s="595">
        <f t="shared" si="30"/>
        <v>0</v>
      </c>
      <c r="W105" s="589">
        <f t="shared" si="31"/>
        <v>0</v>
      </c>
      <c r="AF105" s="598">
        <f t="shared" si="32"/>
        <v>0</v>
      </c>
    </row>
    <row r="106" spans="1:32" s="254" customFormat="1" ht="31.2">
      <c r="A106" s="264" t="s">
        <v>506</v>
      </c>
      <c r="B106" s="225" t="s">
        <v>232</v>
      </c>
      <c r="C106" s="252"/>
      <c r="D106" s="252"/>
      <c r="E106" s="259">
        <f t="shared" ref="E106:P106" si="40">E107+E142+E146+E184+E191+E207</f>
        <v>200872.50000000003</v>
      </c>
      <c r="F106" s="259">
        <f t="shared" si="40"/>
        <v>1200</v>
      </c>
      <c r="G106" s="259">
        <f t="shared" si="40"/>
        <v>56726</v>
      </c>
      <c r="H106" s="259">
        <f t="shared" si="40"/>
        <v>4133.9549999999999</v>
      </c>
      <c r="I106" s="259">
        <f t="shared" si="40"/>
        <v>1272.329</v>
      </c>
      <c r="J106" s="259">
        <f t="shared" si="40"/>
        <v>2861.6260000000002</v>
      </c>
      <c r="K106" s="259">
        <f t="shared" si="40"/>
        <v>424.54270774385469</v>
      </c>
      <c r="L106" s="665">
        <f t="shared" si="40"/>
        <v>52592.045000000006</v>
      </c>
      <c r="M106" s="259">
        <f t="shared" si="40"/>
        <v>43493.322700000004</v>
      </c>
      <c r="N106" s="666">
        <f t="shared" si="40"/>
        <v>42992.326000000001</v>
      </c>
      <c r="O106" s="544">
        <f t="shared" si="33"/>
        <v>81.746823117450546</v>
      </c>
      <c r="P106" s="666">
        <f t="shared" si="40"/>
        <v>52592.045000000006</v>
      </c>
      <c r="Q106" s="488">
        <f t="shared" si="34"/>
        <v>100</v>
      </c>
      <c r="R106" s="513"/>
      <c r="S106" s="253"/>
      <c r="T106" s="253">
        <f>SUM(T108:T210)</f>
        <v>86</v>
      </c>
      <c r="U106" s="253">
        <f>SUM(U108:U210)</f>
        <v>42</v>
      </c>
      <c r="V106" s="595">
        <f t="shared" ref="V106:V137" si="41">L106-N106</f>
        <v>9599.7190000000046</v>
      </c>
      <c r="W106" s="589">
        <f t="shared" ref="W106:W137" si="42">M106-N106</f>
        <v>500.99670000000333</v>
      </c>
      <c r="AF106" s="598">
        <f t="shared" si="32"/>
        <v>0</v>
      </c>
    </row>
    <row r="107" spans="1:32" s="196" customFormat="1" ht="31.2">
      <c r="A107" s="264" t="s">
        <v>9</v>
      </c>
      <c r="B107" s="194" t="s">
        <v>233</v>
      </c>
      <c r="C107" s="252"/>
      <c r="D107" s="252"/>
      <c r="E107" s="259">
        <f>E108+E120+E132+E137</f>
        <v>107670</v>
      </c>
      <c r="F107" s="259">
        <f t="shared" ref="F107:N107" si="43">F108+F120+F132+F137</f>
        <v>1200</v>
      </c>
      <c r="G107" s="259">
        <f t="shared" si="43"/>
        <v>15783</v>
      </c>
      <c r="H107" s="259">
        <f t="shared" si="43"/>
        <v>2823.9610000000002</v>
      </c>
      <c r="I107" s="259">
        <f t="shared" si="43"/>
        <v>684.78099999999995</v>
      </c>
      <c r="J107" s="259">
        <f t="shared" si="43"/>
        <v>2139.1800000000003</v>
      </c>
      <c r="K107" s="259">
        <f t="shared" si="43"/>
        <v>180.9648512084118</v>
      </c>
      <c r="L107" s="665">
        <f t="shared" si="43"/>
        <v>12959.039000000001</v>
      </c>
      <c r="M107" s="259">
        <f t="shared" si="43"/>
        <v>7730.027</v>
      </c>
      <c r="N107" s="666">
        <f t="shared" si="43"/>
        <v>7428.027</v>
      </c>
      <c r="O107" s="544">
        <f t="shared" si="33"/>
        <v>57.319273443038476</v>
      </c>
      <c r="P107" s="430">
        <v>12959.039000000001</v>
      </c>
      <c r="Q107" s="488">
        <f t="shared" si="34"/>
        <v>100</v>
      </c>
      <c r="R107" s="513"/>
      <c r="S107" s="253"/>
      <c r="T107" s="253"/>
      <c r="U107" s="253"/>
      <c r="V107" s="595">
        <f t="shared" si="41"/>
        <v>5531.0120000000006</v>
      </c>
      <c r="W107" s="589">
        <f t="shared" si="42"/>
        <v>302</v>
      </c>
      <c r="AF107" s="598">
        <f t="shared" si="32"/>
        <v>0</v>
      </c>
    </row>
    <row r="108" spans="1:32" s="196" customFormat="1">
      <c r="A108" s="264" t="s">
        <v>234</v>
      </c>
      <c r="B108" s="296" t="s">
        <v>235</v>
      </c>
      <c r="C108" s="252"/>
      <c r="D108" s="252"/>
      <c r="E108" s="259">
        <f>SUM(E109:E119)</f>
        <v>36225</v>
      </c>
      <c r="F108" s="259">
        <f t="shared" ref="F108:N108" si="44">SUM(F109:F119)</f>
        <v>0</v>
      </c>
      <c r="G108" s="259">
        <f t="shared" si="44"/>
        <v>5320</v>
      </c>
      <c r="H108" s="259">
        <f t="shared" si="44"/>
        <v>0</v>
      </c>
      <c r="I108" s="259">
        <f t="shared" si="44"/>
        <v>0</v>
      </c>
      <c r="J108" s="259">
        <f t="shared" si="44"/>
        <v>0</v>
      </c>
      <c r="K108" s="259">
        <f t="shared" si="44"/>
        <v>0</v>
      </c>
      <c r="L108" s="665">
        <f t="shared" si="44"/>
        <v>3880</v>
      </c>
      <c r="M108" s="259">
        <f t="shared" si="44"/>
        <v>560</v>
      </c>
      <c r="N108" s="666">
        <f t="shared" si="44"/>
        <v>560</v>
      </c>
      <c r="O108" s="544">
        <f t="shared" si="33"/>
        <v>14.432989690721648</v>
      </c>
      <c r="P108" s="430">
        <f>SUM(P109:P119)</f>
        <v>3880</v>
      </c>
      <c r="Q108" s="488">
        <f t="shared" ref="Q108:Q139" si="45">P108/L108*100</f>
        <v>100</v>
      </c>
      <c r="R108" s="513"/>
      <c r="S108" s="253"/>
      <c r="T108" s="253"/>
      <c r="U108" s="253"/>
      <c r="V108" s="595">
        <f t="shared" si="41"/>
        <v>3320</v>
      </c>
      <c r="W108" s="589">
        <f t="shared" si="42"/>
        <v>0</v>
      </c>
      <c r="AF108" s="598">
        <f t="shared" si="32"/>
        <v>0</v>
      </c>
    </row>
    <row r="109" spans="1:32">
      <c r="A109" s="271" t="s">
        <v>35</v>
      </c>
      <c r="B109" s="297" t="s">
        <v>236</v>
      </c>
      <c r="C109" s="227" t="s">
        <v>298</v>
      </c>
      <c r="D109" s="402">
        <v>8006662</v>
      </c>
      <c r="E109" s="273">
        <v>2415</v>
      </c>
      <c r="F109" s="221"/>
      <c r="G109" s="273">
        <v>400</v>
      </c>
      <c r="H109" s="221"/>
      <c r="I109" s="540">
        <v>0</v>
      </c>
      <c r="J109" s="540">
        <v>0</v>
      </c>
      <c r="K109" s="545">
        <v>0</v>
      </c>
      <c r="L109" s="534">
        <f>400-40</f>
        <v>360</v>
      </c>
      <c r="M109" s="540">
        <v>0</v>
      </c>
      <c r="N109" s="664"/>
      <c r="O109" s="544">
        <f t="shared" si="33"/>
        <v>0</v>
      </c>
      <c r="P109" s="540">
        <f>L109</f>
        <v>360</v>
      </c>
      <c r="Q109" s="489">
        <f t="shared" si="45"/>
        <v>100</v>
      </c>
      <c r="R109" s="513"/>
      <c r="S109" s="847" t="s">
        <v>635</v>
      </c>
      <c r="T109" s="255">
        <v>1</v>
      </c>
      <c r="U109" s="255"/>
      <c r="V109" s="595">
        <f t="shared" si="41"/>
        <v>360</v>
      </c>
      <c r="W109" s="589">
        <f t="shared" si="42"/>
        <v>0</v>
      </c>
      <c r="AF109" s="598">
        <f t="shared" si="32"/>
        <v>0</v>
      </c>
    </row>
    <row r="110" spans="1:32">
      <c r="A110" s="271" t="s">
        <v>35</v>
      </c>
      <c r="B110" s="297" t="s">
        <v>237</v>
      </c>
      <c r="C110" s="227" t="s">
        <v>298</v>
      </c>
      <c r="D110" s="402">
        <v>8006662</v>
      </c>
      <c r="E110" s="273">
        <v>2940</v>
      </c>
      <c r="F110" s="221"/>
      <c r="G110" s="273">
        <v>400</v>
      </c>
      <c r="H110" s="221"/>
      <c r="I110" s="540">
        <v>0</v>
      </c>
      <c r="J110" s="540">
        <v>0</v>
      </c>
      <c r="K110" s="545">
        <v>0</v>
      </c>
      <c r="L110" s="534">
        <f>400-200</f>
        <v>200</v>
      </c>
      <c r="M110" s="540">
        <v>0</v>
      </c>
      <c r="N110" s="664"/>
      <c r="O110" s="546">
        <f t="shared" si="33"/>
        <v>0</v>
      </c>
      <c r="P110" s="540">
        <f t="shared" ref="P110:P119" si="46">L110</f>
        <v>200</v>
      </c>
      <c r="Q110" s="489">
        <f t="shared" si="45"/>
        <v>100</v>
      </c>
      <c r="R110" s="513"/>
      <c r="S110" s="848"/>
      <c r="T110" s="255">
        <v>1</v>
      </c>
      <c r="U110" s="255"/>
      <c r="V110" s="595">
        <f t="shared" si="41"/>
        <v>200</v>
      </c>
      <c r="W110" s="589">
        <f t="shared" si="42"/>
        <v>0</v>
      </c>
      <c r="AF110" s="598">
        <f t="shared" si="32"/>
        <v>0</v>
      </c>
    </row>
    <row r="111" spans="1:32">
      <c r="A111" s="271" t="s">
        <v>35</v>
      </c>
      <c r="B111" s="297" t="s">
        <v>238</v>
      </c>
      <c r="C111" s="227" t="s">
        <v>298</v>
      </c>
      <c r="D111" s="402">
        <v>8006662</v>
      </c>
      <c r="E111" s="273">
        <v>2205</v>
      </c>
      <c r="F111" s="221"/>
      <c r="G111" s="273">
        <v>280</v>
      </c>
      <c r="H111" s="221"/>
      <c r="I111" s="540">
        <v>0</v>
      </c>
      <c r="J111" s="540">
        <v>0</v>
      </c>
      <c r="K111" s="545">
        <v>0</v>
      </c>
      <c r="L111" s="534">
        <f>280-160</f>
        <v>120</v>
      </c>
      <c r="M111" s="540">
        <v>0</v>
      </c>
      <c r="N111" s="664"/>
      <c r="O111" s="546">
        <f t="shared" si="33"/>
        <v>0</v>
      </c>
      <c r="P111" s="540">
        <f t="shared" si="46"/>
        <v>120</v>
      </c>
      <c r="Q111" s="489">
        <f t="shared" si="45"/>
        <v>100</v>
      </c>
      <c r="R111" s="513"/>
      <c r="S111" s="848"/>
      <c r="T111" s="255">
        <v>1</v>
      </c>
      <c r="U111" s="255"/>
      <c r="V111" s="595">
        <f t="shared" si="41"/>
        <v>120</v>
      </c>
      <c r="W111" s="589">
        <f t="shared" si="42"/>
        <v>0</v>
      </c>
      <c r="AF111" s="598">
        <f t="shared" si="32"/>
        <v>0</v>
      </c>
    </row>
    <row r="112" spans="1:32">
      <c r="A112" s="271" t="s">
        <v>35</v>
      </c>
      <c r="B112" s="297" t="s">
        <v>239</v>
      </c>
      <c r="C112" s="227" t="s">
        <v>298</v>
      </c>
      <c r="D112" s="402">
        <v>8006662</v>
      </c>
      <c r="E112" s="273">
        <v>6405</v>
      </c>
      <c r="F112" s="221"/>
      <c r="G112" s="273">
        <v>800</v>
      </c>
      <c r="H112" s="221"/>
      <c r="I112" s="540">
        <v>0</v>
      </c>
      <c r="J112" s="540">
        <v>0</v>
      </c>
      <c r="K112" s="545">
        <v>0</v>
      </c>
      <c r="L112" s="534">
        <f>800-240</f>
        <v>560</v>
      </c>
      <c r="M112" s="540">
        <v>0</v>
      </c>
      <c r="N112" s="664"/>
      <c r="O112" s="546">
        <f t="shared" si="33"/>
        <v>0</v>
      </c>
      <c r="P112" s="540">
        <f t="shared" si="46"/>
        <v>560</v>
      </c>
      <c r="Q112" s="489">
        <f t="shared" si="45"/>
        <v>100</v>
      </c>
      <c r="R112" s="513"/>
      <c r="S112" s="848"/>
      <c r="T112" s="255">
        <v>1</v>
      </c>
      <c r="U112" s="255"/>
      <c r="V112" s="595">
        <f t="shared" si="41"/>
        <v>560</v>
      </c>
      <c r="W112" s="589">
        <f t="shared" si="42"/>
        <v>0</v>
      </c>
      <c r="AF112" s="598">
        <f t="shared" si="32"/>
        <v>0</v>
      </c>
    </row>
    <row r="113" spans="1:32">
      <c r="A113" s="271" t="s">
        <v>35</v>
      </c>
      <c r="B113" s="297" t="s">
        <v>240</v>
      </c>
      <c r="C113" s="227" t="s">
        <v>295</v>
      </c>
      <c r="D113" s="402">
        <v>8004992</v>
      </c>
      <c r="E113" s="273">
        <v>5565</v>
      </c>
      <c r="F113" s="221"/>
      <c r="G113" s="273">
        <v>800</v>
      </c>
      <c r="H113" s="221"/>
      <c r="I113" s="540">
        <v>0</v>
      </c>
      <c r="J113" s="540">
        <v>0</v>
      </c>
      <c r="K113" s="545">
        <v>0</v>
      </c>
      <c r="L113" s="534">
        <f>800-320</f>
        <v>480</v>
      </c>
      <c r="M113" s="540">
        <v>0</v>
      </c>
      <c r="N113" s="664"/>
      <c r="O113" s="546">
        <f t="shared" si="33"/>
        <v>0</v>
      </c>
      <c r="P113" s="540">
        <f t="shared" si="46"/>
        <v>480</v>
      </c>
      <c r="Q113" s="489">
        <f t="shared" si="45"/>
        <v>100</v>
      </c>
      <c r="R113" s="513"/>
      <c r="S113" s="849"/>
      <c r="T113" s="255">
        <v>1</v>
      </c>
      <c r="U113" s="255"/>
      <c r="V113" s="595">
        <f t="shared" si="41"/>
        <v>480</v>
      </c>
      <c r="W113" s="589">
        <f t="shared" si="42"/>
        <v>0</v>
      </c>
      <c r="AF113" s="598">
        <f t="shared" si="32"/>
        <v>0</v>
      </c>
    </row>
    <row r="114" spans="1:32">
      <c r="A114" s="271" t="s">
        <v>35</v>
      </c>
      <c r="B114" s="297" t="s">
        <v>241</v>
      </c>
      <c r="C114" s="227" t="s">
        <v>298</v>
      </c>
      <c r="D114" s="402">
        <v>8006662</v>
      </c>
      <c r="E114" s="273">
        <v>3150</v>
      </c>
      <c r="F114" s="221"/>
      <c r="G114" s="273">
        <v>400</v>
      </c>
      <c r="H114" s="221"/>
      <c r="I114" s="540">
        <v>0</v>
      </c>
      <c r="J114" s="540">
        <v>0</v>
      </c>
      <c r="K114" s="545">
        <v>0</v>
      </c>
      <c r="L114" s="534">
        <v>400</v>
      </c>
      <c r="M114" s="540">
        <f>N114</f>
        <v>320</v>
      </c>
      <c r="N114" s="664">
        <v>320</v>
      </c>
      <c r="O114" s="546">
        <f t="shared" si="33"/>
        <v>80</v>
      </c>
      <c r="P114" s="540">
        <f t="shared" si="46"/>
        <v>400</v>
      </c>
      <c r="Q114" s="489">
        <f t="shared" si="45"/>
        <v>100</v>
      </c>
      <c r="R114" s="513"/>
      <c r="T114" s="255">
        <v>1</v>
      </c>
      <c r="U114" s="255"/>
      <c r="V114" s="595">
        <f t="shared" si="41"/>
        <v>80</v>
      </c>
      <c r="W114" s="589">
        <f t="shared" si="42"/>
        <v>0</v>
      </c>
      <c r="AF114" s="598">
        <f t="shared" si="32"/>
        <v>0</v>
      </c>
    </row>
    <row r="115" spans="1:32" ht="31.2">
      <c r="A115" s="271" t="s">
        <v>35</v>
      </c>
      <c r="B115" s="297" t="s">
        <v>242</v>
      </c>
      <c r="C115" s="227" t="s">
        <v>292</v>
      </c>
      <c r="D115" s="402">
        <v>7998824</v>
      </c>
      <c r="E115" s="273">
        <v>2835</v>
      </c>
      <c r="F115" s="221"/>
      <c r="G115" s="273">
        <v>400</v>
      </c>
      <c r="H115" s="221"/>
      <c r="I115" s="540">
        <v>0</v>
      </c>
      <c r="J115" s="540">
        <v>0</v>
      </c>
      <c r="K115" s="545">
        <v>0</v>
      </c>
      <c r="L115" s="534">
        <v>0</v>
      </c>
      <c r="M115" s="540">
        <v>0</v>
      </c>
      <c r="N115" s="664"/>
      <c r="O115" s="546"/>
      <c r="P115" s="540">
        <f t="shared" si="46"/>
        <v>0</v>
      </c>
      <c r="Q115" s="489"/>
      <c r="R115" s="513"/>
      <c r="S115" s="850" t="s">
        <v>635</v>
      </c>
      <c r="T115" s="255">
        <v>1</v>
      </c>
      <c r="U115" s="255"/>
      <c r="V115" s="595">
        <f t="shared" si="41"/>
        <v>0</v>
      </c>
      <c r="W115" s="589">
        <f t="shared" si="42"/>
        <v>0</v>
      </c>
      <c r="AF115" s="598">
        <f t="shared" si="32"/>
        <v>0</v>
      </c>
    </row>
    <row r="116" spans="1:32">
      <c r="A116" s="271" t="s">
        <v>35</v>
      </c>
      <c r="B116" s="297" t="s">
        <v>243</v>
      </c>
      <c r="C116" s="227" t="s">
        <v>298</v>
      </c>
      <c r="D116" s="402">
        <v>8006662</v>
      </c>
      <c r="E116" s="273">
        <v>2415</v>
      </c>
      <c r="F116" s="221"/>
      <c r="G116" s="273">
        <v>400</v>
      </c>
      <c r="H116" s="221"/>
      <c r="I116" s="540">
        <v>0</v>
      </c>
      <c r="J116" s="540">
        <v>0</v>
      </c>
      <c r="K116" s="545">
        <v>0</v>
      </c>
      <c r="L116" s="534">
        <f>400-80</f>
        <v>320</v>
      </c>
      <c r="M116" s="540">
        <f>N116</f>
        <v>240</v>
      </c>
      <c r="N116" s="664">
        <v>240</v>
      </c>
      <c r="O116" s="546">
        <f t="shared" si="33"/>
        <v>75</v>
      </c>
      <c r="P116" s="540">
        <f t="shared" si="46"/>
        <v>320</v>
      </c>
      <c r="Q116" s="489">
        <f t="shared" si="45"/>
        <v>100</v>
      </c>
      <c r="R116" s="513"/>
      <c r="S116" s="851"/>
      <c r="T116" s="255">
        <v>1</v>
      </c>
      <c r="U116" s="255"/>
      <c r="V116" s="595">
        <f t="shared" si="41"/>
        <v>80</v>
      </c>
      <c r="W116" s="589">
        <f t="shared" si="42"/>
        <v>0</v>
      </c>
      <c r="AF116" s="598">
        <f t="shared" si="32"/>
        <v>0</v>
      </c>
    </row>
    <row r="117" spans="1:32">
      <c r="A117" s="271" t="s">
        <v>35</v>
      </c>
      <c r="B117" s="297" t="s">
        <v>244</v>
      </c>
      <c r="C117" s="227" t="s">
        <v>298</v>
      </c>
      <c r="D117" s="402">
        <v>8006662</v>
      </c>
      <c r="E117" s="273">
        <v>5250</v>
      </c>
      <c r="F117" s="221"/>
      <c r="G117" s="273">
        <v>720</v>
      </c>
      <c r="H117" s="221"/>
      <c r="I117" s="540">
        <v>0</v>
      </c>
      <c r="J117" s="540">
        <v>0</v>
      </c>
      <c r="K117" s="545">
        <v>0</v>
      </c>
      <c r="L117" s="534">
        <v>720</v>
      </c>
      <c r="M117" s="540">
        <v>0</v>
      </c>
      <c r="N117" s="664"/>
      <c r="O117" s="546">
        <f t="shared" si="33"/>
        <v>0</v>
      </c>
      <c r="P117" s="540">
        <f t="shared" si="46"/>
        <v>720</v>
      </c>
      <c r="Q117" s="489">
        <f t="shared" si="45"/>
        <v>100</v>
      </c>
      <c r="R117" s="513"/>
      <c r="T117" s="255">
        <v>1</v>
      </c>
      <c r="U117" s="255"/>
      <c r="V117" s="595">
        <f t="shared" si="41"/>
        <v>720</v>
      </c>
      <c r="W117" s="589">
        <f t="shared" si="42"/>
        <v>0</v>
      </c>
      <c r="AF117" s="598">
        <f t="shared" si="32"/>
        <v>0</v>
      </c>
    </row>
    <row r="118" spans="1:32">
      <c r="A118" s="271" t="s">
        <v>35</v>
      </c>
      <c r="B118" s="297" t="s">
        <v>245</v>
      </c>
      <c r="C118" s="227" t="s">
        <v>298</v>
      </c>
      <c r="D118" s="402">
        <v>8006662</v>
      </c>
      <c r="E118" s="273">
        <v>1575</v>
      </c>
      <c r="F118" s="221"/>
      <c r="G118" s="273">
        <v>400</v>
      </c>
      <c r="H118" s="221"/>
      <c r="I118" s="540">
        <v>0</v>
      </c>
      <c r="J118" s="540">
        <v>0</v>
      </c>
      <c r="K118" s="545">
        <v>0</v>
      </c>
      <c r="L118" s="534">
        <v>400</v>
      </c>
      <c r="M118" s="540">
        <v>0</v>
      </c>
      <c r="N118" s="664"/>
      <c r="O118" s="544">
        <f t="shared" si="33"/>
        <v>0</v>
      </c>
      <c r="P118" s="540">
        <f t="shared" si="46"/>
        <v>400</v>
      </c>
      <c r="Q118" s="489">
        <f t="shared" si="45"/>
        <v>100</v>
      </c>
      <c r="R118" s="513"/>
      <c r="T118" s="255">
        <v>1</v>
      </c>
      <c r="U118" s="255"/>
      <c r="V118" s="595">
        <f t="shared" si="41"/>
        <v>400</v>
      </c>
      <c r="W118" s="589">
        <f t="shared" si="42"/>
        <v>0</v>
      </c>
      <c r="AF118" s="598">
        <f t="shared" si="32"/>
        <v>0</v>
      </c>
    </row>
    <row r="119" spans="1:32">
      <c r="A119" s="271" t="s">
        <v>35</v>
      </c>
      <c r="B119" s="297" t="s">
        <v>246</v>
      </c>
      <c r="C119" s="227" t="s">
        <v>298</v>
      </c>
      <c r="D119" s="402">
        <v>8006662</v>
      </c>
      <c r="E119" s="273">
        <v>1470</v>
      </c>
      <c r="F119" s="221"/>
      <c r="G119" s="273">
        <v>320</v>
      </c>
      <c r="H119" s="221"/>
      <c r="I119" s="540">
        <v>0</v>
      </c>
      <c r="J119" s="540">
        <v>0</v>
      </c>
      <c r="K119" s="545">
        <v>0</v>
      </c>
      <c r="L119" s="534">
        <v>320</v>
      </c>
      <c r="M119" s="540">
        <v>0</v>
      </c>
      <c r="N119" s="664"/>
      <c r="O119" s="544">
        <f t="shared" si="33"/>
        <v>0</v>
      </c>
      <c r="P119" s="540">
        <f t="shared" si="46"/>
        <v>320</v>
      </c>
      <c r="Q119" s="489">
        <f t="shared" si="45"/>
        <v>100</v>
      </c>
      <c r="R119" s="513"/>
      <c r="T119" s="255">
        <v>1</v>
      </c>
      <c r="U119" s="255"/>
      <c r="V119" s="595">
        <f t="shared" si="41"/>
        <v>320</v>
      </c>
      <c r="W119" s="589">
        <f t="shared" si="42"/>
        <v>0</v>
      </c>
      <c r="AF119" s="598">
        <f t="shared" si="32"/>
        <v>0</v>
      </c>
    </row>
    <row r="120" spans="1:32" s="196" customFormat="1">
      <c r="A120" s="264" t="s">
        <v>247</v>
      </c>
      <c r="B120" s="296" t="s">
        <v>248</v>
      </c>
      <c r="C120" s="263"/>
      <c r="D120" s="252"/>
      <c r="E120" s="259">
        <f>SUM(E121:E131)</f>
        <v>51965</v>
      </c>
      <c r="F120" s="259">
        <f t="shared" ref="F120:N120" si="47">SUM(F121:F131)</f>
        <v>0</v>
      </c>
      <c r="G120" s="259">
        <f t="shared" si="47"/>
        <v>5320</v>
      </c>
      <c r="H120" s="259">
        <f t="shared" si="47"/>
        <v>0</v>
      </c>
      <c r="I120" s="259">
        <f t="shared" si="47"/>
        <v>0</v>
      </c>
      <c r="J120" s="259">
        <f t="shared" si="47"/>
        <v>0</v>
      </c>
      <c r="K120" s="259">
        <f t="shared" si="47"/>
        <v>0</v>
      </c>
      <c r="L120" s="665">
        <f t="shared" si="47"/>
        <v>6608</v>
      </c>
      <c r="M120" s="259">
        <f t="shared" si="47"/>
        <v>4724</v>
      </c>
      <c r="N120" s="666">
        <f t="shared" si="47"/>
        <v>4724</v>
      </c>
      <c r="O120" s="544">
        <f t="shared" si="33"/>
        <v>71.489104116222762</v>
      </c>
      <c r="P120" s="430">
        <f>SUM(P121:P131)</f>
        <v>6608</v>
      </c>
      <c r="Q120" s="488">
        <f t="shared" si="45"/>
        <v>100</v>
      </c>
      <c r="R120" s="513"/>
      <c r="S120" s="253"/>
      <c r="T120" s="255"/>
      <c r="U120" s="253"/>
      <c r="V120" s="595">
        <f t="shared" si="41"/>
        <v>1884</v>
      </c>
      <c r="W120" s="589">
        <f t="shared" si="42"/>
        <v>0</v>
      </c>
      <c r="AF120" s="598">
        <f t="shared" si="32"/>
        <v>0</v>
      </c>
    </row>
    <row r="121" spans="1:32">
      <c r="A121" s="271" t="s">
        <v>35</v>
      </c>
      <c r="B121" s="297" t="s">
        <v>236</v>
      </c>
      <c r="C121" s="227" t="s">
        <v>289</v>
      </c>
      <c r="D121" s="402">
        <v>8001188</v>
      </c>
      <c r="E121" s="273">
        <v>2755</v>
      </c>
      <c r="F121" s="221"/>
      <c r="G121" s="273">
        <v>400</v>
      </c>
      <c r="H121" s="221"/>
      <c r="I121" s="540">
        <v>0</v>
      </c>
      <c r="J121" s="540">
        <v>0</v>
      </c>
      <c r="K121" s="545">
        <v>0</v>
      </c>
      <c r="L121" s="534">
        <v>484</v>
      </c>
      <c r="M121" s="534">
        <f>N121</f>
        <v>328</v>
      </c>
      <c r="N121" s="669">
        <v>328</v>
      </c>
      <c r="O121" s="546">
        <f t="shared" si="33"/>
        <v>67.768595041322314</v>
      </c>
      <c r="P121" s="540">
        <f>L121</f>
        <v>484</v>
      </c>
      <c r="Q121" s="489">
        <f t="shared" si="45"/>
        <v>100</v>
      </c>
      <c r="R121" s="513"/>
      <c r="S121" s="365" t="s">
        <v>635</v>
      </c>
      <c r="T121" s="255">
        <v>1</v>
      </c>
      <c r="U121" s="255"/>
      <c r="V121" s="595">
        <f t="shared" si="41"/>
        <v>156</v>
      </c>
      <c r="W121" s="589">
        <f t="shared" si="42"/>
        <v>0</v>
      </c>
      <c r="AF121" s="598">
        <f t="shared" si="32"/>
        <v>0</v>
      </c>
    </row>
    <row r="122" spans="1:32">
      <c r="A122" s="271" t="s">
        <v>35</v>
      </c>
      <c r="B122" s="297" t="s">
        <v>237</v>
      </c>
      <c r="C122" s="227" t="s">
        <v>290</v>
      </c>
      <c r="D122" s="402">
        <v>7999810</v>
      </c>
      <c r="E122" s="273">
        <v>5700</v>
      </c>
      <c r="F122" s="221"/>
      <c r="G122" s="273">
        <v>400</v>
      </c>
      <c r="H122" s="221"/>
      <c r="I122" s="540">
        <v>0</v>
      </c>
      <c r="J122" s="540">
        <v>0</v>
      </c>
      <c r="K122" s="545">
        <v>0</v>
      </c>
      <c r="L122" s="534">
        <v>400</v>
      </c>
      <c r="M122" s="534">
        <f t="shared" ref="M122:M131" si="48">N122</f>
        <v>360</v>
      </c>
      <c r="N122" s="669">
        <v>360</v>
      </c>
      <c r="O122" s="546">
        <f t="shared" si="33"/>
        <v>90</v>
      </c>
      <c r="P122" s="540">
        <f t="shared" ref="P122:P136" si="49">L122</f>
        <v>400</v>
      </c>
      <c r="Q122" s="489">
        <f t="shared" si="45"/>
        <v>100</v>
      </c>
      <c r="R122" s="510"/>
      <c r="T122" s="255">
        <v>1</v>
      </c>
      <c r="U122" s="255"/>
      <c r="V122" s="595">
        <f t="shared" si="41"/>
        <v>40</v>
      </c>
      <c r="W122" s="589">
        <f t="shared" si="42"/>
        <v>0</v>
      </c>
      <c r="AF122" s="598">
        <f t="shared" si="32"/>
        <v>0</v>
      </c>
    </row>
    <row r="123" spans="1:32">
      <c r="A123" s="271" t="s">
        <v>35</v>
      </c>
      <c r="B123" s="297" t="s">
        <v>238</v>
      </c>
      <c r="C123" s="227" t="s">
        <v>293</v>
      </c>
      <c r="D123" s="402">
        <v>7999806</v>
      </c>
      <c r="E123" s="273">
        <v>1900</v>
      </c>
      <c r="F123" s="221"/>
      <c r="G123" s="273">
        <v>280</v>
      </c>
      <c r="H123" s="221"/>
      <c r="I123" s="540">
        <v>0</v>
      </c>
      <c r="J123" s="540">
        <v>0</v>
      </c>
      <c r="K123" s="545">
        <v>0</v>
      </c>
      <c r="L123" s="534">
        <v>280</v>
      </c>
      <c r="M123" s="534">
        <f t="shared" si="48"/>
        <v>280</v>
      </c>
      <c r="N123" s="669">
        <v>280</v>
      </c>
      <c r="O123" s="546">
        <f t="shared" si="33"/>
        <v>100</v>
      </c>
      <c r="P123" s="540">
        <f t="shared" si="49"/>
        <v>280</v>
      </c>
      <c r="Q123" s="489">
        <f t="shared" si="45"/>
        <v>100</v>
      </c>
      <c r="R123" s="513"/>
      <c r="T123" s="255">
        <v>1</v>
      </c>
      <c r="U123" s="255"/>
      <c r="V123" s="595">
        <f t="shared" si="41"/>
        <v>0</v>
      </c>
      <c r="W123" s="589">
        <f t="shared" si="42"/>
        <v>0</v>
      </c>
      <c r="AF123" s="598">
        <f t="shared" si="32"/>
        <v>0</v>
      </c>
    </row>
    <row r="124" spans="1:32">
      <c r="A124" s="271" t="s">
        <v>35</v>
      </c>
      <c r="B124" s="297" t="s">
        <v>239</v>
      </c>
      <c r="C124" s="227" t="s">
        <v>294</v>
      </c>
      <c r="D124" s="402">
        <v>8007050</v>
      </c>
      <c r="E124" s="273">
        <v>4940</v>
      </c>
      <c r="F124" s="221"/>
      <c r="G124" s="273">
        <v>800</v>
      </c>
      <c r="H124" s="221"/>
      <c r="I124" s="540">
        <v>0</v>
      </c>
      <c r="J124" s="540">
        <v>0</v>
      </c>
      <c r="K124" s="545">
        <v>0</v>
      </c>
      <c r="L124" s="534">
        <v>800</v>
      </c>
      <c r="M124" s="534">
        <f t="shared" si="48"/>
        <v>788</v>
      </c>
      <c r="N124" s="669">
        <f>228+560</f>
        <v>788</v>
      </c>
      <c r="O124" s="546">
        <f t="shared" si="33"/>
        <v>98.5</v>
      </c>
      <c r="P124" s="540">
        <f t="shared" si="49"/>
        <v>800</v>
      </c>
      <c r="Q124" s="489">
        <f t="shared" si="45"/>
        <v>100</v>
      </c>
      <c r="R124" s="513"/>
      <c r="T124" s="255">
        <v>1</v>
      </c>
      <c r="U124" s="255"/>
      <c r="V124" s="595">
        <f t="shared" si="41"/>
        <v>12</v>
      </c>
      <c r="W124" s="589">
        <f t="shared" si="42"/>
        <v>0</v>
      </c>
      <c r="AF124" s="598">
        <f t="shared" si="32"/>
        <v>0</v>
      </c>
    </row>
    <row r="125" spans="1:32">
      <c r="A125" s="271" t="s">
        <v>35</v>
      </c>
      <c r="B125" s="297" t="s">
        <v>240</v>
      </c>
      <c r="C125" s="227" t="s">
        <v>295</v>
      </c>
      <c r="D125" s="402">
        <v>8004993</v>
      </c>
      <c r="E125" s="273">
        <v>5795</v>
      </c>
      <c r="F125" s="221"/>
      <c r="G125" s="273">
        <v>800</v>
      </c>
      <c r="H125" s="221"/>
      <c r="I125" s="540">
        <v>0</v>
      </c>
      <c r="J125" s="540">
        <v>0</v>
      </c>
      <c r="K125" s="545">
        <v>0</v>
      </c>
      <c r="L125" s="534">
        <v>1248</v>
      </c>
      <c r="M125" s="534">
        <f t="shared" si="48"/>
        <v>760</v>
      </c>
      <c r="N125" s="669">
        <v>760</v>
      </c>
      <c r="O125" s="546">
        <f t="shared" si="33"/>
        <v>60.897435897435891</v>
      </c>
      <c r="P125" s="540">
        <f t="shared" si="49"/>
        <v>1248</v>
      </c>
      <c r="Q125" s="489">
        <f t="shared" si="45"/>
        <v>100</v>
      </c>
      <c r="R125" s="513"/>
      <c r="S125" s="365" t="s">
        <v>635</v>
      </c>
      <c r="T125" s="255">
        <v>1</v>
      </c>
      <c r="U125" s="255"/>
      <c r="V125" s="595">
        <f t="shared" si="41"/>
        <v>488</v>
      </c>
      <c r="W125" s="589">
        <f t="shared" si="42"/>
        <v>0</v>
      </c>
      <c r="AF125" s="598">
        <f t="shared" si="32"/>
        <v>0</v>
      </c>
    </row>
    <row r="126" spans="1:32">
      <c r="A126" s="271" t="s">
        <v>35</v>
      </c>
      <c r="B126" s="297" t="s">
        <v>241</v>
      </c>
      <c r="C126" s="227" t="s">
        <v>296</v>
      </c>
      <c r="D126" s="402">
        <v>8000799</v>
      </c>
      <c r="E126" s="273">
        <v>3135</v>
      </c>
      <c r="F126" s="221"/>
      <c r="G126" s="273">
        <v>400</v>
      </c>
      <c r="H126" s="221"/>
      <c r="I126" s="540">
        <v>0</v>
      </c>
      <c r="J126" s="540">
        <v>0</v>
      </c>
      <c r="K126" s="545">
        <v>0</v>
      </c>
      <c r="L126" s="534">
        <v>400</v>
      </c>
      <c r="M126" s="534">
        <f t="shared" si="48"/>
        <v>400</v>
      </c>
      <c r="N126" s="669">
        <v>400</v>
      </c>
      <c r="O126" s="546">
        <f t="shared" si="33"/>
        <v>100</v>
      </c>
      <c r="P126" s="540">
        <f t="shared" si="49"/>
        <v>400</v>
      </c>
      <c r="Q126" s="489">
        <f t="shared" si="45"/>
        <v>100</v>
      </c>
      <c r="R126" s="513"/>
      <c r="T126" s="255">
        <v>1</v>
      </c>
      <c r="U126" s="255"/>
      <c r="V126" s="595">
        <f t="shared" si="41"/>
        <v>0</v>
      </c>
      <c r="W126" s="589">
        <f t="shared" si="42"/>
        <v>0</v>
      </c>
      <c r="AF126" s="598">
        <f t="shared" si="32"/>
        <v>0</v>
      </c>
    </row>
    <row r="127" spans="1:32" ht="31.2">
      <c r="A127" s="271" t="s">
        <v>35</v>
      </c>
      <c r="B127" s="297" t="s">
        <v>242</v>
      </c>
      <c r="C127" s="227" t="s">
        <v>292</v>
      </c>
      <c r="D127" s="402">
        <v>7998822</v>
      </c>
      <c r="E127" s="273">
        <v>9785</v>
      </c>
      <c r="F127" s="221"/>
      <c r="G127" s="273">
        <v>400</v>
      </c>
      <c r="H127" s="221"/>
      <c r="I127" s="540">
        <v>0</v>
      </c>
      <c r="J127" s="540">
        <v>0</v>
      </c>
      <c r="K127" s="545">
        <v>0</v>
      </c>
      <c r="L127" s="534">
        <v>932</v>
      </c>
      <c r="M127" s="534">
        <f t="shared" si="48"/>
        <v>252</v>
      </c>
      <c r="N127" s="669">
        <v>252</v>
      </c>
      <c r="O127" s="544">
        <f t="shared" si="33"/>
        <v>27.038626609442062</v>
      </c>
      <c r="P127" s="540">
        <f t="shared" si="49"/>
        <v>932</v>
      </c>
      <c r="Q127" s="489">
        <f t="shared" si="45"/>
        <v>100</v>
      </c>
      <c r="R127" s="513"/>
      <c r="S127" s="365" t="s">
        <v>635</v>
      </c>
      <c r="T127" s="255">
        <v>1</v>
      </c>
      <c r="U127" s="255"/>
      <c r="V127" s="595">
        <f t="shared" si="41"/>
        <v>680</v>
      </c>
      <c r="W127" s="589">
        <f t="shared" si="42"/>
        <v>0</v>
      </c>
      <c r="AF127" s="598">
        <f t="shared" si="32"/>
        <v>0</v>
      </c>
    </row>
    <row r="128" spans="1:32">
      <c r="A128" s="271" t="s">
        <v>35</v>
      </c>
      <c r="B128" s="297" t="s">
        <v>243</v>
      </c>
      <c r="C128" s="227" t="s">
        <v>291</v>
      </c>
      <c r="D128" s="402">
        <v>8004998</v>
      </c>
      <c r="E128" s="273">
        <v>6460</v>
      </c>
      <c r="F128" s="221"/>
      <c r="G128" s="273">
        <v>400</v>
      </c>
      <c r="H128" s="221"/>
      <c r="I128" s="540">
        <v>0</v>
      </c>
      <c r="J128" s="540">
        <v>0</v>
      </c>
      <c r="K128" s="545">
        <v>0</v>
      </c>
      <c r="L128" s="534">
        <v>540</v>
      </c>
      <c r="M128" s="534">
        <f t="shared" si="48"/>
        <v>400</v>
      </c>
      <c r="N128" s="669">
        <v>400</v>
      </c>
      <c r="O128" s="546">
        <f t="shared" si="33"/>
        <v>74.074074074074076</v>
      </c>
      <c r="P128" s="540">
        <f t="shared" si="49"/>
        <v>540</v>
      </c>
      <c r="Q128" s="489">
        <f t="shared" si="45"/>
        <v>100</v>
      </c>
      <c r="R128" s="510"/>
      <c r="S128" s="365" t="s">
        <v>635</v>
      </c>
      <c r="T128" s="255">
        <v>1</v>
      </c>
      <c r="U128" s="255"/>
      <c r="V128" s="595">
        <f t="shared" si="41"/>
        <v>140</v>
      </c>
      <c r="W128" s="589">
        <f t="shared" si="42"/>
        <v>0</v>
      </c>
      <c r="AF128" s="598">
        <f t="shared" si="32"/>
        <v>0</v>
      </c>
    </row>
    <row r="129" spans="1:32">
      <c r="A129" s="271" t="s">
        <v>35</v>
      </c>
      <c r="B129" s="297" t="s">
        <v>244</v>
      </c>
      <c r="C129" s="227" t="s">
        <v>297</v>
      </c>
      <c r="D129" s="402">
        <v>7999807</v>
      </c>
      <c r="E129" s="273">
        <v>3895</v>
      </c>
      <c r="F129" s="221"/>
      <c r="G129" s="273">
        <v>720</v>
      </c>
      <c r="H129" s="221"/>
      <c r="I129" s="540">
        <v>0</v>
      </c>
      <c r="J129" s="540">
        <v>0</v>
      </c>
      <c r="K129" s="545">
        <v>0</v>
      </c>
      <c r="L129" s="534">
        <v>720</v>
      </c>
      <c r="M129" s="534">
        <f t="shared" si="48"/>
        <v>556</v>
      </c>
      <c r="N129" s="553">
        <v>556</v>
      </c>
      <c r="O129" s="546">
        <f t="shared" si="33"/>
        <v>77.222222222222229</v>
      </c>
      <c r="P129" s="540">
        <f t="shared" si="49"/>
        <v>720</v>
      </c>
      <c r="Q129" s="489">
        <f t="shared" si="45"/>
        <v>100</v>
      </c>
      <c r="R129" s="513"/>
      <c r="T129" s="255">
        <v>1</v>
      </c>
      <c r="U129" s="255"/>
      <c r="V129" s="595">
        <f t="shared" si="41"/>
        <v>164</v>
      </c>
      <c r="W129" s="589">
        <f t="shared" si="42"/>
        <v>0</v>
      </c>
      <c r="AF129" s="598">
        <f t="shared" si="32"/>
        <v>0</v>
      </c>
    </row>
    <row r="130" spans="1:32">
      <c r="A130" s="271" t="s">
        <v>35</v>
      </c>
      <c r="B130" s="297" t="s">
        <v>245</v>
      </c>
      <c r="C130" s="227" t="s">
        <v>288</v>
      </c>
      <c r="D130" s="402">
        <v>8000798</v>
      </c>
      <c r="E130" s="273">
        <v>6840</v>
      </c>
      <c r="F130" s="221"/>
      <c r="G130" s="273">
        <v>400</v>
      </c>
      <c r="H130" s="221"/>
      <c r="I130" s="540">
        <v>0</v>
      </c>
      <c r="J130" s="540">
        <v>0</v>
      </c>
      <c r="K130" s="545">
        <v>0</v>
      </c>
      <c r="L130" s="534">
        <v>484</v>
      </c>
      <c r="M130" s="534">
        <f t="shared" si="48"/>
        <v>280</v>
      </c>
      <c r="N130" s="553">
        <v>280</v>
      </c>
      <c r="O130" s="546">
        <f t="shared" si="33"/>
        <v>57.851239669421481</v>
      </c>
      <c r="P130" s="540">
        <f t="shared" si="49"/>
        <v>484</v>
      </c>
      <c r="Q130" s="489">
        <f t="shared" si="45"/>
        <v>100</v>
      </c>
      <c r="R130" s="513"/>
      <c r="S130" s="365" t="s">
        <v>635</v>
      </c>
      <c r="T130" s="255">
        <v>1</v>
      </c>
      <c r="U130" s="255"/>
      <c r="V130" s="595">
        <f t="shared" si="41"/>
        <v>204</v>
      </c>
      <c r="W130" s="589">
        <f t="shared" si="42"/>
        <v>0</v>
      </c>
      <c r="AF130" s="598">
        <f t="shared" si="32"/>
        <v>0</v>
      </c>
    </row>
    <row r="131" spans="1:32">
      <c r="A131" s="271" t="s">
        <v>35</v>
      </c>
      <c r="B131" s="297" t="s">
        <v>249</v>
      </c>
      <c r="C131" s="227" t="s">
        <v>460</v>
      </c>
      <c r="D131" s="402">
        <v>8000800</v>
      </c>
      <c r="E131" s="273">
        <v>760</v>
      </c>
      <c r="F131" s="221"/>
      <c r="G131" s="273">
        <v>320</v>
      </c>
      <c r="H131" s="221"/>
      <c r="I131" s="540">
        <v>0</v>
      </c>
      <c r="J131" s="540">
        <v>0</v>
      </c>
      <c r="K131" s="545">
        <v>0</v>
      </c>
      <c r="L131" s="534">
        <v>320</v>
      </c>
      <c r="M131" s="534">
        <f t="shared" si="48"/>
        <v>320</v>
      </c>
      <c r="N131" s="664">
        <v>320</v>
      </c>
      <c r="O131" s="546">
        <f t="shared" si="33"/>
        <v>100</v>
      </c>
      <c r="P131" s="540">
        <f t="shared" si="49"/>
        <v>320</v>
      </c>
      <c r="Q131" s="489">
        <f t="shared" si="45"/>
        <v>100</v>
      </c>
      <c r="R131" s="510"/>
      <c r="T131" s="255">
        <v>1</v>
      </c>
      <c r="U131" s="255"/>
      <c r="V131" s="595">
        <f t="shared" si="41"/>
        <v>0</v>
      </c>
      <c r="W131" s="589">
        <f t="shared" si="42"/>
        <v>0</v>
      </c>
      <c r="AF131" s="598">
        <f t="shared" si="32"/>
        <v>0</v>
      </c>
    </row>
    <row r="132" spans="1:32" s="196" customFormat="1" hidden="1">
      <c r="A132" s="264" t="s">
        <v>250</v>
      </c>
      <c r="B132" s="296" t="s">
        <v>251</v>
      </c>
      <c r="C132" s="227"/>
      <c r="D132" s="402"/>
      <c r="E132" s="259">
        <f>SUM(E133:E136)</f>
        <v>10000</v>
      </c>
      <c r="F132" s="259">
        <f t="shared" ref="F132:N132" si="50">SUM(F133:F136)</f>
        <v>0</v>
      </c>
      <c r="G132" s="259">
        <f t="shared" si="50"/>
        <v>450</v>
      </c>
      <c r="H132" s="259">
        <f t="shared" si="50"/>
        <v>0</v>
      </c>
      <c r="I132" s="259">
        <f t="shared" si="50"/>
        <v>0</v>
      </c>
      <c r="J132" s="259">
        <f t="shared" si="50"/>
        <v>0</v>
      </c>
      <c r="K132" s="259">
        <f t="shared" si="50"/>
        <v>0</v>
      </c>
      <c r="L132" s="665">
        <f t="shared" si="50"/>
        <v>0</v>
      </c>
      <c r="M132" s="259">
        <f t="shared" si="50"/>
        <v>0</v>
      </c>
      <c r="N132" s="666">
        <f t="shared" si="50"/>
        <v>0</v>
      </c>
      <c r="O132" s="546" t="e">
        <f t="shared" si="33"/>
        <v>#DIV/0!</v>
      </c>
      <c r="P132" s="540">
        <f t="shared" si="49"/>
        <v>0</v>
      </c>
      <c r="Q132" s="488" t="e">
        <f t="shared" si="45"/>
        <v>#DIV/0!</v>
      </c>
      <c r="R132" s="513"/>
      <c r="S132" s="253"/>
      <c r="T132" s="255"/>
      <c r="U132" s="253"/>
      <c r="V132" s="595">
        <f t="shared" si="41"/>
        <v>0</v>
      </c>
      <c r="W132" s="589">
        <f t="shared" si="42"/>
        <v>0</v>
      </c>
      <c r="AF132" s="598">
        <f t="shared" si="32"/>
        <v>0</v>
      </c>
    </row>
    <row r="133" spans="1:32" hidden="1">
      <c r="A133" s="271" t="s">
        <v>35</v>
      </c>
      <c r="B133" s="297" t="s">
        <v>236</v>
      </c>
      <c r="C133" s="227" t="s">
        <v>298</v>
      </c>
      <c r="D133" s="402" t="s">
        <v>311</v>
      </c>
      <c r="E133" s="273">
        <v>3500</v>
      </c>
      <c r="F133" s="221"/>
      <c r="G133" s="273">
        <v>112.5</v>
      </c>
      <c r="H133" s="221"/>
      <c r="I133" s="540">
        <v>0</v>
      </c>
      <c r="J133" s="540">
        <v>0</v>
      </c>
      <c r="K133" s="545">
        <v>0</v>
      </c>
      <c r="L133" s="534"/>
      <c r="M133" s="540">
        <v>0</v>
      </c>
      <c r="N133" s="664"/>
      <c r="O133" s="546" t="e">
        <f t="shared" si="33"/>
        <v>#DIV/0!</v>
      </c>
      <c r="P133" s="540">
        <f t="shared" si="49"/>
        <v>0</v>
      </c>
      <c r="Q133" s="489"/>
      <c r="R133" s="513"/>
      <c r="T133" s="255">
        <v>1</v>
      </c>
      <c r="U133" s="255"/>
      <c r="V133" s="595">
        <f t="shared" si="41"/>
        <v>0</v>
      </c>
      <c r="W133" s="589">
        <f t="shared" si="42"/>
        <v>0</v>
      </c>
      <c r="AF133" s="598">
        <f t="shared" si="32"/>
        <v>0</v>
      </c>
    </row>
    <row r="134" spans="1:32" hidden="1">
      <c r="A134" s="271" t="s">
        <v>35</v>
      </c>
      <c r="B134" s="297" t="s">
        <v>237</v>
      </c>
      <c r="C134" s="227" t="s">
        <v>298</v>
      </c>
      <c r="D134" s="402" t="s">
        <v>311</v>
      </c>
      <c r="E134" s="273">
        <v>1800</v>
      </c>
      <c r="F134" s="221"/>
      <c r="G134" s="273">
        <v>112.5</v>
      </c>
      <c r="H134" s="221"/>
      <c r="I134" s="540">
        <v>0</v>
      </c>
      <c r="J134" s="540">
        <v>0</v>
      </c>
      <c r="K134" s="545">
        <v>0</v>
      </c>
      <c r="L134" s="534"/>
      <c r="M134" s="540">
        <v>0</v>
      </c>
      <c r="N134" s="664"/>
      <c r="O134" s="546" t="e">
        <f t="shared" si="33"/>
        <v>#DIV/0!</v>
      </c>
      <c r="P134" s="540">
        <f t="shared" si="49"/>
        <v>0</v>
      </c>
      <c r="Q134" s="489"/>
      <c r="R134" s="513"/>
      <c r="T134" s="255">
        <v>1</v>
      </c>
      <c r="U134" s="255"/>
      <c r="V134" s="595">
        <f t="shared" si="41"/>
        <v>0</v>
      </c>
      <c r="W134" s="589">
        <f t="shared" si="42"/>
        <v>0</v>
      </c>
      <c r="AF134" s="598">
        <f t="shared" si="32"/>
        <v>0</v>
      </c>
    </row>
    <row r="135" spans="1:32" hidden="1">
      <c r="A135" s="271" t="s">
        <v>35</v>
      </c>
      <c r="B135" s="297" t="s">
        <v>240</v>
      </c>
      <c r="C135" s="227" t="s">
        <v>182</v>
      </c>
      <c r="D135" s="402">
        <v>8004991</v>
      </c>
      <c r="E135" s="273">
        <v>2700</v>
      </c>
      <c r="F135" s="221"/>
      <c r="G135" s="273">
        <v>112.5</v>
      </c>
      <c r="H135" s="221"/>
      <c r="I135" s="540">
        <v>0</v>
      </c>
      <c r="J135" s="540">
        <v>0</v>
      </c>
      <c r="K135" s="545">
        <v>0</v>
      </c>
      <c r="L135" s="534"/>
      <c r="M135" s="540">
        <v>0</v>
      </c>
      <c r="N135" s="664"/>
      <c r="O135" s="546" t="e">
        <f t="shared" si="33"/>
        <v>#DIV/0!</v>
      </c>
      <c r="P135" s="540">
        <f t="shared" si="49"/>
        <v>0</v>
      </c>
      <c r="Q135" s="489"/>
      <c r="R135" s="513"/>
      <c r="T135" s="255">
        <v>1</v>
      </c>
      <c r="U135" s="255"/>
      <c r="V135" s="595">
        <f t="shared" si="41"/>
        <v>0</v>
      </c>
      <c r="W135" s="589">
        <f t="shared" si="42"/>
        <v>0</v>
      </c>
      <c r="AF135" s="598">
        <f t="shared" si="32"/>
        <v>0</v>
      </c>
    </row>
    <row r="136" spans="1:32" ht="31.2" hidden="1">
      <c r="A136" s="271" t="s">
        <v>35</v>
      </c>
      <c r="B136" s="297" t="s">
        <v>242</v>
      </c>
      <c r="C136" s="227" t="s">
        <v>184</v>
      </c>
      <c r="D136" s="402">
        <v>7998823</v>
      </c>
      <c r="E136" s="273">
        <v>2000</v>
      </c>
      <c r="F136" s="221"/>
      <c r="G136" s="273">
        <v>112.5</v>
      </c>
      <c r="H136" s="221"/>
      <c r="I136" s="540">
        <v>0</v>
      </c>
      <c r="J136" s="540">
        <v>0</v>
      </c>
      <c r="K136" s="545">
        <v>0</v>
      </c>
      <c r="L136" s="534"/>
      <c r="M136" s="540"/>
      <c r="N136" s="664"/>
      <c r="O136" s="546" t="e">
        <f t="shared" si="33"/>
        <v>#DIV/0!</v>
      </c>
      <c r="P136" s="540">
        <f t="shared" si="49"/>
        <v>0</v>
      </c>
      <c r="Q136" s="489"/>
      <c r="R136" s="513"/>
      <c r="T136" s="255">
        <v>1</v>
      </c>
      <c r="U136" s="255"/>
      <c r="V136" s="595">
        <f t="shared" si="41"/>
        <v>0</v>
      </c>
      <c r="W136" s="589">
        <f t="shared" si="42"/>
        <v>0</v>
      </c>
      <c r="AF136" s="598">
        <f t="shared" si="32"/>
        <v>0</v>
      </c>
    </row>
    <row r="137" spans="1:32" s="196" customFormat="1">
      <c r="A137" s="264" t="s">
        <v>252</v>
      </c>
      <c r="B137" s="296" t="s">
        <v>253</v>
      </c>
      <c r="C137" s="252"/>
      <c r="D137" s="402"/>
      <c r="E137" s="259">
        <f>SUM(E138:E141)</f>
        <v>9480</v>
      </c>
      <c r="F137" s="259">
        <f t="shared" ref="F137:N137" si="51">SUM(F138:F141)</f>
        <v>1200</v>
      </c>
      <c r="G137" s="259">
        <f t="shared" si="51"/>
        <v>4693</v>
      </c>
      <c r="H137" s="259">
        <f t="shared" si="51"/>
        <v>2823.9610000000002</v>
      </c>
      <c r="I137" s="259">
        <f t="shared" si="51"/>
        <v>684.78099999999995</v>
      </c>
      <c r="J137" s="259">
        <f t="shared" si="51"/>
        <v>2139.1800000000003</v>
      </c>
      <c r="K137" s="259">
        <f t="shared" si="51"/>
        <v>180.9648512084118</v>
      </c>
      <c r="L137" s="259">
        <f t="shared" si="51"/>
        <v>2471.0389999999998</v>
      </c>
      <c r="M137" s="259">
        <f t="shared" si="51"/>
        <v>2446.027</v>
      </c>
      <c r="N137" s="259">
        <f t="shared" si="51"/>
        <v>2144.027</v>
      </c>
      <c r="O137" s="544">
        <f t="shared" si="33"/>
        <v>86.76621453566699</v>
      </c>
      <c r="P137" s="259">
        <f t="shared" ref="P137" si="52">SUM(P138:P141)</f>
        <v>2471.0389999999998</v>
      </c>
      <c r="Q137" s="488">
        <f t="shared" si="45"/>
        <v>100</v>
      </c>
      <c r="R137" s="513"/>
      <c r="S137" s="253"/>
      <c r="T137" s="255"/>
      <c r="U137" s="253"/>
      <c r="V137" s="595">
        <f t="shared" si="41"/>
        <v>327.01199999999972</v>
      </c>
      <c r="W137" s="589">
        <f t="shared" si="42"/>
        <v>302</v>
      </c>
      <c r="AF137" s="598">
        <f t="shared" si="32"/>
        <v>0</v>
      </c>
    </row>
    <row r="138" spans="1:32" ht="31.2">
      <c r="A138" s="271" t="s">
        <v>35</v>
      </c>
      <c r="B138" s="297" t="s">
        <v>461</v>
      </c>
      <c r="C138" s="414" t="s">
        <v>532</v>
      </c>
      <c r="D138" s="402">
        <v>8002008</v>
      </c>
      <c r="E138" s="273">
        <v>3500</v>
      </c>
      <c r="F138" s="221"/>
      <c r="G138" s="273">
        <v>1593</v>
      </c>
      <c r="H138" s="221">
        <v>1183.3910000000001</v>
      </c>
      <c r="I138" s="540">
        <v>254.452</v>
      </c>
      <c r="J138" s="540">
        <v>928.93900000000008</v>
      </c>
      <c r="K138" s="545">
        <v>74.286942875078481</v>
      </c>
      <c r="L138" s="534">
        <v>409.60899999999992</v>
      </c>
      <c r="M138" s="273">
        <f>N138</f>
        <v>409.60899999999998</v>
      </c>
      <c r="N138" s="664">
        <v>409.60899999999998</v>
      </c>
      <c r="O138" s="546">
        <f t="shared" ref="O138:O205" si="53">N138/L138*100</f>
        <v>100.00000000000003</v>
      </c>
      <c r="P138" s="540">
        <v>409.60899999999992</v>
      </c>
      <c r="Q138" s="489">
        <f t="shared" si="45"/>
        <v>100</v>
      </c>
      <c r="R138" s="436"/>
      <c r="T138" s="255">
        <v>1</v>
      </c>
      <c r="U138" s="255"/>
      <c r="V138" s="595">
        <f t="shared" ref="V138:V176" si="54">L138-N138</f>
        <v>0</v>
      </c>
      <c r="W138" s="589">
        <f t="shared" ref="W138:W175" si="55">M138-N138</f>
        <v>0</v>
      </c>
      <c r="AF138" s="598">
        <f t="shared" ref="AF138:AF202" si="56">L138-P138</f>
        <v>0</v>
      </c>
    </row>
    <row r="139" spans="1:32" ht="31.2">
      <c r="A139" s="271" t="s">
        <v>35</v>
      </c>
      <c r="B139" s="297" t="s">
        <v>254</v>
      </c>
      <c r="C139" s="414" t="s">
        <v>532</v>
      </c>
      <c r="D139" s="402">
        <v>8000354</v>
      </c>
      <c r="E139" s="273">
        <v>1780</v>
      </c>
      <c r="F139" s="221"/>
      <c r="G139" s="273">
        <v>1600</v>
      </c>
      <c r="H139" s="221">
        <v>646.42200000000003</v>
      </c>
      <c r="I139" s="540">
        <v>208.99600000000001</v>
      </c>
      <c r="J139" s="540">
        <v>437.42600000000004</v>
      </c>
      <c r="K139" s="545">
        <v>40.401375000000002</v>
      </c>
      <c r="L139" s="534">
        <v>953.57799999999997</v>
      </c>
      <c r="M139" s="273">
        <f>N139</f>
        <v>928.56600000000003</v>
      </c>
      <c r="N139" s="664">
        <v>928.56600000000003</v>
      </c>
      <c r="O139" s="546">
        <f t="shared" si="53"/>
        <v>97.377036802443016</v>
      </c>
      <c r="P139" s="540">
        <v>953.57799999999997</v>
      </c>
      <c r="Q139" s="489">
        <f t="shared" si="45"/>
        <v>100</v>
      </c>
      <c r="R139" s="436"/>
      <c r="T139" s="255">
        <v>1</v>
      </c>
      <c r="U139" s="255"/>
      <c r="V139" s="595">
        <f t="shared" si="54"/>
        <v>25.011999999999944</v>
      </c>
      <c r="W139" s="589">
        <f t="shared" si="55"/>
        <v>0</v>
      </c>
      <c r="AF139" s="598">
        <f t="shared" si="56"/>
        <v>0</v>
      </c>
    </row>
    <row r="140" spans="1:32" ht="31.2">
      <c r="A140" s="271" t="s">
        <v>35</v>
      </c>
      <c r="B140" s="297" t="s">
        <v>462</v>
      </c>
      <c r="C140" s="414" t="s">
        <v>532</v>
      </c>
      <c r="D140" s="402">
        <v>8000356</v>
      </c>
      <c r="E140" s="273">
        <v>3000</v>
      </c>
      <c r="F140" s="221"/>
      <c r="G140" s="273">
        <v>1500</v>
      </c>
      <c r="H140" s="221">
        <v>994.14800000000002</v>
      </c>
      <c r="I140" s="540">
        <v>221.333</v>
      </c>
      <c r="J140" s="540">
        <v>772.81500000000005</v>
      </c>
      <c r="K140" s="545">
        <v>66.276533333333333</v>
      </c>
      <c r="L140" s="534">
        <v>505.85199999999998</v>
      </c>
      <c r="M140" s="273">
        <f>N140</f>
        <v>505.85199999999998</v>
      </c>
      <c r="N140" s="664">
        <v>505.85199999999998</v>
      </c>
      <c r="O140" s="546">
        <f t="shared" si="53"/>
        <v>100</v>
      </c>
      <c r="P140" s="540">
        <v>505.85199999999998</v>
      </c>
      <c r="Q140" s="489">
        <f t="shared" ref="Q140:Q172" si="57">P140/L140*100</f>
        <v>100</v>
      </c>
      <c r="R140" s="436"/>
      <c r="T140" s="255">
        <v>1</v>
      </c>
      <c r="U140" s="255"/>
      <c r="V140" s="595">
        <f t="shared" si="54"/>
        <v>0</v>
      </c>
      <c r="W140" s="589">
        <f t="shared" si="55"/>
        <v>0</v>
      </c>
      <c r="AF140" s="598">
        <f t="shared" si="56"/>
        <v>0</v>
      </c>
    </row>
    <row r="141" spans="1:32" ht="31.2">
      <c r="A141" s="271" t="s">
        <v>35</v>
      </c>
      <c r="B141" s="297" t="s">
        <v>363</v>
      </c>
      <c r="C141" s="227" t="s">
        <v>180</v>
      </c>
      <c r="D141" s="402">
        <v>8025351</v>
      </c>
      <c r="E141" s="273">
        <v>1200</v>
      </c>
      <c r="F141" s="334">
        <v>1200</v>
      </c>
      <c r="G141" s="273"/>
      <c r="H141" s="221"/>
      <c r="I141" s="540"/>
      <c r="J141" s="540"/>
      <c r="K141" s="545"/>
      <c r="L141" s="534">
        <v>602</v>
      </c>
      <c r="M141" s="273">
        <f>L141</f>
        <v>602</v>
      </c>
      <c r="N141" s="664">
        <v>300</v>
      </c>
      <c r="O141" s="546">
        <f t="shared" si="53"/>
        <v>49.833887043189371</v>
      </c>
      <c r="P141" s="540">
        <v>602</v>
      </c>
      <c r="Q141" s="489">
        <f t="shared" si="57"/>
        <v>100</v>
      </c>
      <c r="R141" s="436"/>
      <c r="S141" s="532" t="s">
        <v>635</v>
      </c>
      <c r="T141" s="255"/>
      <c r="U141" s="255"/>
      <c r="V141" s="595">
        <f t="shared" si="54"/>
        <v>302</v>
      </c>
      <c r="W141" s="589">
        <f t="shared" si="55"/>
        <v>302</v>
      </c>
      <c r="AF141" s="598">
        <f t="shared" si="56"/>
        <v>0</v>
      </c>
    </row>
    <row r="142" spans="1:32" s="196" customFormat="1" ht="31.2">
      <c r="A142" s="264" t="s">
        <v>14</v>
      </c>
      <c r="B142" s="194" t="s">
        <v>255</v>
      </c>
      <c r="C142" s="252"/>
      <c r="D142" s="402"/>
      <c r="E142" s="259">
        <f>E143</f>
        <v>22722</v>
      </c>
      <c r="F142" s="259">
        <f t="shared" ref="F142:N142" si="58">F143</f>
        <v>0</v>
      </c>
      <c r="G142" s="259">
        <f t="shared" si="58"/>
        <v>8033</v>
      </c>
      <c r="H142" s="259">
        <f t="shared" si="58"/>
        <v>0</v>
      </c>
      <c r="I142" s="259">
        <f t="shared" si="58"/>
        <v>0</v>
      </c>
      <c r="J142" s="259">
        <f t="shared" si="58"/>
        <v>0</v>
      </c>
      <c r="K142" s="259">
        <f t="shared" si="58"/>
        <v>0</v>
      </c>
      <c r="L142" s="665">
        <f t="shared" si="58"/>
        <v>8033</v>
      </c>
      <c r="M142" s="259">
        <f t="shared" si="58"/>
        <v>7623.6779999999999</v>
      </c>
      <c r="N142" s="666">
        <f t="shared" si="58"/>
        <v>7623.6779999999999</v>
      </c>
      <c r="O142" s="544">
        <f t="shared" si="53"/>
        <v>94.904493962405084</v>
      </c>
      <c r="P142" s="430">
        <v>8033</v>
      </c>
      <c r="Q142" s="488">
        <f t="shared" si="57"/>
        <v>100</v>
      </c>
      <c r="R142" s="513"/>
      <c r="S142" s="253"/>
      <c r="T142" s="255"/>
      <c r="U142" s="253"/>
      <c r="V142" s="595">
        <f t="shared" si="54"/>
        <v>409.32200000000012</v>
      </c>
      <c r="W142" s="589">
        <f t="shared" si="55"/>
        <v>0</v>
      </c>
      <c r="AF142" s="598">
        <f t="shared" si="56"/>
        <v>0</v>
      </c>
    </row>
    <row r="143" spans="1:32" s="535" customFormat="1" ht="16.2">
      <c r="A143" s="298">
        <v>1</v>
      </c>
      <c r="B143" s="299" t="s">
        <v>256</v>
      </c>
      <c r="C143" s="379"/>
      <c r="D143" s="420"/>
      <c r="E143" s="339">
        <f>SUM(E144:E145)</f>
        <v>22722</v>
      </c>
      <c r="F143" s="339">
        <f t="shared" ref="F143:N143" si="59">SUM(F144:F145)</f>
        <v>0</v>
      </c>
      <c r="G143" s="339">
        <f t="shared" si="59"/>
        <v>8033</v>
      </c>
      <c r="H143" s="339">
        <f t="shared" si="59"/>
        <v>0</v>
      </c>
      <c r="I143" s="339">
        <f t="shared" si="59"/>
        <v>0</v>
      </c>
      <c r="J143" s="339">
        <f t="shared" si="59"/>
        <v>0</v>
      </c>
      <c r="K143" s="339">
        <f t="shared" si="59"/>
        <v>0</v>
      </c>
      <c r="L143" s="667">
        <f t="shared" si="59"/>
        <v>8033</v>
      </c>
      <c r="M143" s="339">
        <f t="shared" si="59"/>
        <v>7623.6779999999999</v>
      </c>
      <c r="N143" s="668">
        <f t="shared" si="59"/>
        <v>7623.6779999999999</v>
      </c>
      <c r="O143" s="549">
        <f t="shared" si="53"/>
        <v>94.904493962405084</v>
      </c>
      <c r="P143" s="541">
        <v>8033</v>
      </c>
      <c r="Q143" s="490">
        <f t="shared" si="57"/>
        <v>100</v>
      </c>
      <c r="R143" s="515"/>
      <c r="S143" s="257"/>
      <c r="T143" s="257"/>
      <c r="U143" s="257"/>
      <c r="V143" s="595">
        <f t="shared" si="54"/>
        <v>409.32200000000012</v>
      </c>
      <c r="W143" s="589">
        <f t="shared" si="55"/>
        <v>0</v>
      </c>
      <c r="AF143" s="598">
        <f t="shared" si="56"/>
        <v>0</v>
      </c>
    </row>
    <row r="144" spans="1:32" ht="34.799999999999997" customHeight="1">
      <c r="A144" s="271" t="s">
        <v>35</v>
      </c>
      <c r="B144" s="297" t="s">
        <v>257</v>
      </c>
      <c r="C144" s="414" t="s">
        <v>532</v>
      </c>
      <c r="D144" s="402">
        <v>8006668</v>
      </c>
      <c r="E144" s="273">
        <v>11360</v>
      </c>
      <c r="F144" s="221"/>
      <c r="G144" s="273">
        <v>4000</v>
      </c>
      <c r="H144" s="221"/>
      <c r="I144" s="540">
        <v>0</v>
      </c>
      <c r="J144" s="540">
        <v>0</v>
      </c>
      <c r="K144" s="545">
        <v>0</v>
      </c>
      <c r="L144" s="534">
        <v>4000</v>
      </c>
      <c r="M144" s="540">
        <f>N144</f>
        <v>3960.069</v>
      </c>
      <c r="N144" s="664">
        <f>3722.069+238</f>
        <v>3960.069</v>
      </c>
      <c r="O144" s="546">
        <f t="shared" si="53"/>
        <v>99.001724999999993</v>
      </c>
      <c r="P144" s="540">
        <v>4000</v>
      </c>
      <c r="Q144" s="489">
        <f t="shared" si="57"/>
        <v>100</v>
      </c>
      <c r="R144" s="436"/>
      <c r="T144" s="255">
        <v>1</v>
      </c>
      <c r="U144" s="255"/>
      <c r="V144" s="595">
        <f t="shared" si="54"/>
        <v>39.93100000000004</v>
      </c>
      <c r="W144" s="589">
        <f t="shared" si="55"/>
        <v>0</v>
      </c>
      <c r="AF144" s="598">
        <f t="shared" si="56"/>
        <v>0</v>
      </c>
    </row>
    <row r="145" spans="1:32" ht="35.4" customHeight="1">
      <c r="A145" s="271" t="s">
        <v>35</v>
      </c>
      <c r="B145" s="297" t="s">
        <v>258</v>
      </c>
      <c r="C145" s="414" t="s">
        <v>532</v>
      </c>
      <c r="D145" s="402">
        <v>8006534</v>
      </c>
      <c r="E145" s="273">
        <v>11362</v>
      </c>
      <c r="F145" s="221"/>
      <c r="G145" s="273">
        <v>4033</v>
      </c>
      <c r="H145" s="221"/>
      <c r="I145" s="540">
        <v>0</v>
      </c>
      <c r="J145" s="540">
        <v>0</v>
      </c>
      <c r="K145" s="545">
        <v>0</v>
      </c>
      <c r="L145" s="534">
        <v>4033</v>
      </c>
      <c r="M145" s="540">
        <f>N145</f>
        <v>3663.6089999999999</v>
      </c>
      <c r="N145" s="664">
        <f>3433.609+230</f>
        <v>3663.6089999999999</v>
      </c>
      <c r="O145" s="546">
        <f t="shared" si="53"/>
        <v>90.840788494916936</v>
      </c>
      <c r="P145" s="540">
        <v>4033</v>
      </c>
      <c r="Q145" s="489">
        <f t="shared" si="57"/>
        <v>100</v>
      </c>
      <c r="R145" s="436"/>
      <c r="T145" s="255">
        <v>1</v>
      </c>
      <c r="U145" s="255"/>
      <c r="V145" s="595">
        <f t="shared" si="54"/>
        <v>369.39100000000008</v>
      </c>
      <c r="W145" s="589">
        <f t="shared" si="55"/>
        <v>0</v>
      </c>
      <c r="AF145" s="598">
        <f t="shared" si="56"/>
        <v>0</v>
      </c>
    </row>
    <row r="146" spans="1:32" s="196" customFormat="1" ht="62.4">
      <c r="A146" s="264" t="s">
        <v>18</v>
      </c>
      <c r="B146" s="194" t="s">
        <v>259</v>
      </c>
      <c r="C146" s="252"/>
      <c r="D146" s="402"/>
      <c r="E146" s="259">
        <f>SUM(E147:E183)</f>
        <v>32137.199999999997</v>
      </c>
      <c r="F146" s="259">
        <f t="shared" ref="F146:P146" si="60">SUM(F147:F183)</f>
        <v>0</v>
      </c>
      <c r="G146" s="259">
        <f t="shared" si="60"/>
        <v>22376</v>
      </c>
      <c r="H146" s="259">
        <f t="shared" si="60"/>
        <v>827.52700000000004</v>
      </c>
      <c r="I146" s="259">
        <f t="shared" si="60"/>
        <v>508.08700000000005</v>
      </c>
      <c r="J146" s="259">
        <f t="shared" si="60"/>
        <v>319.44</v>
      </c>
      <c r="K146" s="259">
        <f t="shared" si="60"/>
        <v>150.21302602155848</v>
      </c>
      <c r="L146" s="259">
        <f t="shared" si="60"/>
        <v>21821.473000000002</v>
      </c>
      <c r="M146" s="259">
        <f t="shared" si="60"/>
        <v>19583.379700000005</v>
      </c>
      <c r="N146" s="666">
        <f t="shared" si="60"/>
        <v>19384.383000000002</v>
      </c>
      <c r="O146" s="544">
        <f t="shared" si="53"/>
        <v>88.831688859867526</v>
      </c>
      <c r="P146" s="259">
        <f t="shared" si="60"/>
        <v>21821.473000000002</v>
      </c>
      <c r="Q146" s="488">
        <f t="shared" si="57"/>
        <v>100</v>
      </c>
      <c r="R146" s="514"/>
      <c r="S146" s="253"/>
      <c r="T146" s="255"/>
      <c r="U146" s="253"/>
      <c r="V146" s="595">
        <f t="shared" si="54"/>
        <v>2437.09</v>
      </c>
      <c r="W146" s="589">
        <f t="shared" si="55"/>
        <v>198.99670000000333</v>
      </c>
      <c r="AF146" s="598">
        <f t="shared" si="56"/>
        <v>0</v>
      </c>
    </row>
    <row r="147" spans="1:32" ht="31.2">
      <c r="A147" s="271">
        <v>1</v>
      </c>
      <c r="B147" s="297" t="s">
        <v>503</v>
      </c>
      <c r="C147" s="227" t="s">
        <v>178</v>
      </c>
      <c r="D147" s="402">
        <v>7994172</v>
      </c>
      <c r="E147" s="273">
        <v>526</v>
      </c>
      <c r="F147" s="221"/>
      <c r="G147" s="273">
        <v>526</v>
      </c>
      <c r="H147" s="221"/>
      <c r="I147" s="540">
        <v>0</v>
      </c>
      <c r="J147" s="540">
        <v>0</v>
      </c>
      <c r="K147" s="545">
        <v>0</v>
      </c>
      <c r="L147" s="534">
        <v>526</v>
      </c>
      <c r="M147" s="540">
        <f>N147</f>
        <v>475.78</v>
      </c>
      <c r="N147" s="664">
        <v>475.78</v>
      </c>
      <c r="O147" s="546">
        <f t="shared" si="53"/>
        <v>90.452471482889734</v>
      </c>
      <c r="P147" s="540">
        <v>526</v>
      </c>
      <c r="Q147" s="489">
        <f t="shared" si="57"/>
        <v>100</v>
      </c>
      <c r="R147" s="443"/>
      <c r="T147" s="255">
        <v>1</v>
      </c>
      <c r="U147" s="255">
        <v>1</v>
      </c>
      <c r="V147" s="595">
        <f t="shared" si="54"/>
        <v>50.220000000000027</v>
      </c>
      <c r="W147" s="589">
        <f t="shared" si="55"/>
        <v>0</v>
      </c>
      <c r="AF147" s="598">
        <f t="shared" si="56"/>
        <v>0</v>
      </c>
    </row>
    <row r="148" spans="1:32">
      <c r="A148" s="271">
        <v>2</v>
      </c>
      <c r="B148" s="297" t="s">
        <v>304</v>
      </c>
      <c r="C148" s="227" t="s">
        <v>178</v>
      </c>
      <c r="D148" s="402">
        <v>7994171</v>
      </c>
      <c r="E148" s="273">
        <v>900</v>
      </c>
      <c r="F148" s="221"/>
      <c r="G148" s="273">
        <v>700</v>
      </c>
      <c r="H148" s="221"/>
      <c r="I148" s="540">
        <v>0</v>
      </c>
      <c r="J148" s="540">
        <v>0</v>
      </c>
      <c r="K148" s="545">
        <v>0</v>
      </c>
      <c r="L148" s="534">
        <v>700</v>
      </c>
      <c r="M148" s="540">
        <v>700</v>
      </c>
      <c r="N148" s="664">
        <v>700</v>
      </c>
      <c r="O148" s="546">
        <f t="shared" si="53"/>
        <v>100</v>
      </c>
      <c r="P148" s="540">
        <v>700</v>
      </c>
      <c r="Q148" s="489">
        <f t="shared" si="57"/>
        <v>100</v>
      </c>
      <c r="R148" s="443"/>
      <c r="T148" s="255">
        <v>1</v>
      </c>
      <c r="U148" s="255">
        <v>1</v>
      </c>
      <c r="V148" s="595">
        <f t="shared" si="54"/>
        <v>0</v>
      </c>
      <c r="W148" s="589">
        <f t="shared" si="55"/>
        <v>0</v>
      </c>
      <c r="AF148" s="598">
        <f t="shared" si="56"/>
        <v>0</v>
      </c>
    </row>
    <row r="149" spans="1:32">
      <c r="A149" s="271">
        <v>3</v>
      </c>
      <c r="B149" s="297" t="s">
        <v>463</v>
      </c>
      <c r="C149" s="227" t="s">
        <v>178</v>
      </c>
      <c r="D149" s="402">
        <v>7994173</v>
      </c>
      <c r="E149" s="273">
        <v>700</v>
      </c>
      <c r="F149" s="221"/>
      <c r="G149" s="273">
        <v>374</v>
      </c>
      <c r="H149" s="221"/>
      <c r="I149" s="540">
        <v>0</v>
      </c>
      <c r="J149" s="540">
        <v>0</v>
      </c>
      <c r="K149" s="545">
        <v>0</v>
      </c>
      <c r="L149" s="534">
        <v>374</v>
      </c>
      <c r="M149" s="540">
        <v>374</v>
      </c>
      <c r="N149" s="664">
        <v>374</v>
      </c>
      <c r="O149" s="546">
        <f t="shared" si="53"/>
        <v>100</v>
      </c>
      <c r="P149" s="540">
        <v>374</v>
      </c>
      <c r="Q149" s="489">
        <f t="shared" si="57"/>
        <v>100</v>
      </c>
      <c r="R149" s="443"/>
      <c r="T149" s="255">
        <v>1</v>
      </c>
      <c r="U149" s="255">
        <v>1</v>
      </c>
      <c r="V149" s="595">
        <f t="shared" si="54"/>
        <v>0</v>
      </c>
      <c r="W149" s="589">
        <f t="shared" si="55"/>
        <v>0</v>
      </c>
      <c r="AF149" s="598">
        <f t="shared" si="56"/>
        <v>0</v>
      </c>
    </row>
    <row r="150" spans="1:32" ht="46.8">
      <c r="A150" s="271">
        <v>4</v>
      </c>
      <c r="B150" s="297" t="s">
        <v>464</v>
      </c>
      <c r="C150" s="255" t="s">
        <v>292</v>
      </c>
      <c r="D150" s="402">
        <v>7998772</v>
      </c>
      <c r="E150" s="273">
        <v>500</v>
      </c>
      <c r="F150" s="221"/>
      <c r="G150" s="273">
        <v>500</v>
      </c>
      <c r="H150" s="221"/>
      <c r="I150" s="540">
        <v>0</v>
      </c>
      <c r="J150" s="540">
        <v>0</v>
      </c>
      <c r="K150" s="545">
        <v>0</v>
      </c>
      <c r="L150" s="534">
        <v>500</v>
      </c>
      <c r="M150" s="540">
        <f>N150</f>
        <v>382.67840000000001</v>
      </c>
      <c r="N150" s="664">
        <v>382.67840000000001</v>
      </c>
      <c r="O150" s="546">
        <f t="shared" si="53"/>
        <v>76.535679999999999</v>
      </c>
      <c r="P150" s="540">
        <v>500</v>
      </c>
      <c r="Q150" s="489">
        <f t="shared" si="57"/>
        <v>100</v>
      </c>
      <c r="R150" s="443"/>
      <c r="T150" s="255">
        <v>1</v>
      </c>
      <c r="U150" s="255">
        <v>1</v>
      </c>
      <c r="V150" s="595">
        <f t="shared" si="54"/>
        <v>117.32159999999999</v>
      </c>
      <c r="W150" s="589">
        <f t="shared" si="55"/>
        <v>0</v>
      </c>
      <c r="AF150" s="598">
        <f t="shared" si="56"/>
        <v>0</v>
      </c>
    </row>
    <row r="151" spans="1:32" ht="31.2">
      <c r="A151" s="271">
        <v>5</v>
      </c>
      <c r="B151" s="297" t="s">
        <v>260</v>
      </c>
      <c r="C151" s="227" t="s">
        <v>292</v>
      </c>
      <c r="D151" s="402">
        <v>7998773</v>
      </c>
      <c r="E151" s="273">
        <v>500</v>
      </c>
      <c r="F151" s="221"/>
      <c r="G151" s="273">
        <v>400</v>
      </c>
      <c r="H151" s="221"/>
      <c r="I151" s="540">
        <v>0</v>
      </c>
      <c r="J151" s="540">
        <v>0</v>
      </c>
      <c r="K151" s="545">
        <v>0</v>
      </c>
      <c r="L151" s="534">
        <v>400</v>
      </c>
      <c r="M151" s="540">
        <f>N151</f>
        <v>382.745</v>
      </c>
      <c r="N151" s="664">
        <v>382.745</v>
      </c>
      <c r="O151" s="546">
        <f t="shared" si="53"/>
        <v>95.686250000000001</v>
      </c>
      <c r="P151" s="540">
        <v>400</v>
      </c>
      <c r="Q151" s="489">
        <f t="shared" si="57"/>
        <v>100</v>
      </c>
      <c r="R151" s="443"/>
      <c r="T151" s="255">
        <v>1</v>
      </c>
      <c r="U151" s="255">
        <v>1</v>
      </c>
      <c r="V151" s="595">
        <f t="shared" si="54"/>
        <v>17.254999999999995</v>
      </c>
      <c r="W151" s="589">
        <f t="shared" si="55"/>
        <v>0</v>
      </c>
      <c r="AF151" s="598">
        <f t="shared" si="56"/>
        <v>0</v>
      </c>
    </row>
    <row r="152" spans="1:32" ht="31.2">
      <c r="A152" s="271">
        <v>6</v>
      </c>
      <c r="B152" s="297" t="s">
        <v>465</v>
      </c>
      <c r="C152" s="255" t="s">
        <v>287</v>
      </c>
      <c r="D152" s="402">
        <v>8005577</v>
      </c>
      <c r="E152" s="273">
        <v>630</v>
      </c>
      <c r="F152" s="221"/>
      <c r="G152" s="273">
        <v>630</v>
      </c>
      <c r="H152" s="221"/>
      <c r="I152" s="540">
        <v>0</v>
      </c>
      <c r="J152" s="540">
        <v>0</v>
      </c>
      <c r="K152" s="545">
        <v>0</v>
      </c>
      <c r="L152" s="534">
        <v>630</v>
      </c>
      <c r="M152" s="540">
        <f t="shared" ref="M152:M161" si="61">N152</f>
        <v>623.29700000000003</v>
      </c>
      <c r="N152" s="664">
        <v>623.29700000000003</v>
      </c>
      <c r="O152" s="546">
        <f t="shared" si="53"/>
        <v>98.936031746031745</v>
      </c>
      <c r="P152" s="540">
        <v>630</v>
      </c>
      <c r="Q152" s="489">
        <f t="shared" si="57"/>
        <v>100</v>
      </c>
      <c r="R152" s="443"/>
      <c r="T152" s="255">
        <v>1</v>
      </c>
      <c r="U152" s="255">
        <v>1</v>
      </c>
      <c r="V152" s="595">
        <f t="shared" si="54"/>
        <v>6.7029999999999745</v>
      </c>
      <c r="W152" s="589">
        <f t="shared" si="55"/>
        <v>0</v>
      </c>
      <c r="AF152" s="598">
        <f t="shared" si="56"/>
        <v>0</v>
      </c>
    </row>
    <row r="153" spans="1:32" ht="31.2">
      <c r="A153" s="271">
        <v>7</v>
      </c>
      <c r="B153" s="297" t="s">
        <v>466</v>
      </c>
      <c r="C153" s="255" t="s">
        <v>287</v>
      </c>
      <c r="D153" s="402">
        <v>8005578</v>
      </c>
      <c r="E153" s="273">
        <v>630</v>
      </c>
      <c r="F153" s="221"/>
      <c r="G153" s="273">
        <v>630</v>
      </c>
      <c r="H153" s="221"/>
      <c r="I153" s="540">
        <v>0</v>
      </c>
      <c r="J153" s="540">
        <v>0</v>
      </c>
      <c r="K153" s="545">
        <v>0</v>
      </c>
      <c r="L153" s="534">
        <v>630</v>
      </c>
      <c r="M153" s="540">
        <f t="shared" si="61"/>
        <v>622.322</v>
      </c>
      <c r="N153" s="664">
        <v>622.322</v>
      </c>
      <c r="O153" s="546">
        <f t="shared" si="53"/>
        <v>98.781269841269832</v>
      </c>
      <c r="P153" s="540">
        <v>630</v>
      </c>
      <c r="Q153" s="489">
        <f t="shared" si="57"/>
        <v>100</v>
      </c>
      <c r="R153" s="443"/>
      <c r="T153" s="255">
        <v>1</v>
      </c>
      <c r="U153" s="255">
        <v>1</v>
      </c>
      <c r="V153" s="595">
        <f t="shared" si="54"/>
        <v>7.6779999999999973</v>
      </c>
      <c r="W153" s="589">
        <f t="shared" si="55"/>
        <v>0</v>
      </c>
      <c r="AF153" s="598">
        <f t="shared" si="56"/>
        <v>0</v>
      </c>
    </row>
    <row r="154" spans="1:32" ht="31.2">
      <c r="A154" s="271">
        <v>8</v>
      </c>
      <c r="B154" s="297" t="s">
        <v>467</v>
      </c>
      <c r="C154" s="255" t="s">
        <v>287</v>
      </c>
      <c r="D154" s="402">
        <v>8005579</v>
      </c>
      <c r="E154" s="273">
        <v>500</v>
      </c>
      <c r="F154" s="221"/>
      <c r="G154" s="273">
        <v>500</v>
      </c>
      <c r="H154" s="221"/>
      <c r="I154" s="540">
        <v>0</v>
      </c>
      <c r="J154" s="540">
        <v>0</v>
      </c>
      <c r="K154" s="545">
        <v>0</v>
      </c>
      <c r="L154" s="534">
        <v>500</v>
      </c>
      <c r="M154" s="540">
        <f t="shared" si="61"/>
        <v>494.59699999999998</v>
      </c>
      <c r="N154" s="664">
        <v>494.59699999999998</v>
      </c>
      <c r="O154" s="546">
        <f t="shared" si="53"/>
        <v>98.919399999999996</v>
      </c>
      <c r="P154" s="540">
        <v>500</v>
      </c>
      <c r="Q154" s="489">
        <f t="shared" si="57"/>
        <v>100</v>
      </c>
      <c r="R154" s="443"/>
      <c r="T154" s="255">
        <v>1</v>
      </c>
      <c r="U154" s="255">
        <v>1</v>
      </c>
      <c r="V154" s="595">
        <f t="shared" si="54"/>
        <v>5.40300000000002</v>
      </c>
      <c r="W154" s="589">
        <f t="shared" si="55"/>
        <v>0</v>
      </c>
      <c r="AF154" s="598">
        <f t="shared" si="56"/>
        <v>0</v>
      </c>
    </row>
    <row r="155" spans="1:32" ht="31.2">
      <c r="A155" s="271">
        <v>9</v>
      </c>
      <c r="B155" s="297" t="s">
        <v>468</v>
      </c>
      <c r="C155" s="255" t="s">
        <v>287</v>
      </c>
      <c r="D155" s="402">
        <v>8005580</v>
      </c>
      <c r="E155" s="273">
        <v>400</v>
      </c>
      <c r="F155" s="221"/>
      <c r="G155" s="273">
        <v>400</v>
      </c>
      <c r="H155" s="221"/>
      <c r="I155" s="540">
        <v>0</v>
      </c>
      <c r="J155" s="540">
        <v>0</v>
      </c>
      <c r="K155" s="545">
        <v>0</v>
      </c>
      <c r="L155" s="534">
        <v>400</v>
      </c>
      <c r="M155" s="540">
        <f t="shared" si="61"/>
        <v>395.74799999999999</v>
      </c>
      <c r="N155" s="664">
        <v>395.74799999999999</v>
      </c>
      <c r="O155" s="546">
        <f t="shared" si="53"/>
        <v>98.936999999999998</v>
      </c>
      <c r="P155" s="540">
        <v>400</v>
      </c>
      <c r="Q155" s="489">
        <f t="shared" si="57"/>
        <v>100</v>
      </c>
      <c r="R155" s="443"/>
      <c r="T155" s="255">
        <v>1</v>
      </c>
      <c r="U155" s="255">
        <v>1</v>
      </c>
      <c r="V155" s="595">
        <f t="shared" si="54"/>
        <v>4.2520000000000095</v>
      </c>
      <c r="W155" s="589">
        <f t="shared" si="55"/>
        <v>0</v>
      </c>
      <c r="AF155" s="598">
        <f t="shared" si="56"/>
        <v>0</v>
      </c>
    </row>
    <row r="156" spans="1:32" ht="31.2">
      <c r="A156" s="271">
        <v>10</v>
      </c>
      <c r="B156" s="297" t="s">
        <v>261</v>
      </c>
      <c r="C156" s="255" t="s">
        <v>287</v>
      </c>
      <c r="D156" s="402">
        <v>8005576</v>
      </c>
      <c r="E156" s="273">
        <v>800</v>
      </c>
      <c r="F156" s="221"/>
      <c r="G156" s="273">
        <v>700</v>
      </c>
      <c r="H156" s="221"/>
      <c r="I156" s="540">
        <v>0</v>
      </c>
      <c r="J156" s="540">
        <v>0</v>
      </c>
      <c r="K156" s="545">
        <v>0</v>
      </c>
      <c r="L156" s="534">
        <v>700</v>
      </c>
      <c r="M156" s="540">
        <f t="shared" si="61"/>
        <v>700</v>
      </c>
      <c r="N156" s="664">
        <v>700</v>
      </c>
      <c r="O156" s="546">
        <f t="shared" si="53"/>
        <v>100</v>
      </c>
      <c r="P156" s="540">
        <v>700</v>
      </c>
      <c r="Q156" s="489">
        <f t="shared" si="57"/>
        <v>100</v>
      </c>
      <c r="R156" s="443"/>
      <c r="T156" s="255">
        <v>1</v>
      </c>
      <c r="U156" s="255">
        <v>1</v>
      </c>
      <c r="V156" s="595">
        <f t="shared" si="54"/>
        <v>0</v>
      </c>
      <c r="W156" s="589">
        <f t="shared" si="55"/>
        <v>0</v>
      </c>
      <c r="AF156" s="598">
        <f t="shared" si="56"/>
        <v>0</v>
      </c>
    </row>
    <row r="157" spans="1:32" ht="31.2">
      <c r="A157" s="271">
        <v>11</v>
      </c>
      <c r="B157" s="297" t="s">
        <v>262</v>
      </c>
      <c r="C157" s="227" t="s">
        <v>287</v>
      </c>
      <c r="D157" s="402">
        <v>8005575</v>
      </c>
      <c r="E157" s="273">
        <v>800</v>
      </c>
      <c r="F157" s="221"/>
      <c r="G157" s="273">
        <v>700</v>
      </c>
      <c r="H157" s="221"/>
      <c r="I157" s="540">
        <v>0</v>
      </c>
      <c r="J157" s="540">
        <v>0</v>
      </c>
      <c r="K157" s="545">
        <v>0</v>
      </c>
      <c r="L157" s="534">
        <v>700</v>
      </c>
      <c r="M157" s="540">
        <f>L157</f>
        <v>700</v>
      </c>
      <c r="N157" s="664">
        <v>700</v>
      </c>
      <c r="O157" s="546">
        <f t="shared" si="53"/>
        <v>100</v>
      </c>
      <c r="P157" s="540">
        <v>700</v>
      </c>
      <c r="Q157" s="489">
        <f t="shared" si="57"/>
        <v>100</v>
      </c>
      <c r="R157" s="443"/>
      <c r="T157" s="255">
        <v>1</v>
      </c>
      <c r="U157" s="255">
        <v>1</v>
      </c>
      <c r="V157" s="595">
        <f t="shared" si="54"/>
        <v>0</v>
      </c>
      <c r="W157" s="589">
        <f t="shared" si="55"/>
        <v>0</v>
      </c>
      <c r="AF157" s="598">
        <f t="shared" si="56"/>
        <v>0</v>
      </c>
    </row>
    <row r="158" spans="1:32" ht="62.4">
      <c r="A158" s="271">
        <v>12</v>
      </c>
      <c r="B158" s="297" t="s">
        <v>469</v>
      </c>
      <c r="C158" s="227" t="s">
        <v>179</v>
      </c>
      <c r="D158" s="402">
        <v>8006667</v>
      </c>
      <c r="E158" s="273">
        <v>870</v>
      </c>
      <c r="F158" s="221"/>
      <c r="G158" s="273">
        <v>870</v>
      </c>
      <c r="H158" s="221"/>
      <c r="I158" s="540">
        <v>0</v>
      </c>
      <c r="J158" s="540">
        <v>0</v>
      </c>
      <c r="K158" s="545">
        <v>0</v>
      </c>
      <c r="L158" s="534">
        <v>870</v>
      </c>
      <c r="M158" s="540">
        <f>N158</f>
        <v>809.54399999999998</v>
      </c>
      <c r="N158" s="664">
        <v>809.54399999999998</v>
      </c>
      <c r="O158" s="546">
        <f t="shared" si="53"/>
        <v>93.051034482758624</v>
      </c>
      <c r="P158" s="540">
        <v>870</v>
      </c>
      <c r="Q158" s="489">
        <f t="shared" si="57"/>
        <v>100</v>
      </c>
      <c r="R158" s="443"/>
      <c r="T158" s="255">
        <v>1</v>
      </c>
      <c r="U158" s="255">
        <v>1</v>
      </c>
      <c r="V158" s="595">
        <f t="shared" si="54"/>
        <v>60.456000000000017</v>
      </c>
      <c r="W158" s="589">
        <f t="shared" si="55"/>
        <v>0</v>
      </c>
      <c r="AF158" s="598">
        <f t="shared" si="56"/>
        <v>0</v>
      </c>
    </row>
    <row r="159" spans="1:32" ht="31.2">
      <c r="A159" s="271">
        <v>13</v>
      </c>
      <c r="B159" s="297" t="s">
        <v>470</v>
      </c>
      <c r="C159" s="227" t="s">
        <v>179</v>
      </c>
      <c r="D159" s="402">
        <v>8006660</v>
      </c>
      <c r="E159" s="273">
        <f>350+180</f>
        <v>530</v>
      </c>
      <c r="F159" s="221"/>
      <c r="G159" s="273">
        <v>530</v>
      </c>
      <c r="H159" s="221"/>
      <c r="I159" s="540">
        <v>0</v>
      </c>
      <c r="J159" s="540">
        <v>0</v>
      </c>
      <c r="K159" s="545">
        <v>0</v>
      </c>
      <c r="L159" s="534">
        <v>530</v>
      </c>
      <c r="M159" s="540">
        <f t="shared" si="61"/>
        <v>492.72399999999999</v>
      </c>
      <c r="N159" s="664">
        <v>492.72399999999999</v>
      </c>
      <c r="O159" s="546">
        <f t="shared" si="53"/>
        <v>92.966792452830177</v>
      </c>
      <c r="P159" s="540">
        <v>530</v>
      </c>
      <c r="Q159" s="489">
        <f t="shared" si="57"/>
        <v>100</v>
      </c>
      <c r="R159" s="443"/>
      <c r="S159" s="365" t="s">
        <v>308</v>
      </c>
      <c r="T159" s="255">
        <v>1</v>
      </c>
      <c r="U159" s="255">
        <v>1</v>
      </c>
      <c r="V159" s="595">
        <f t="shared" si="54"/>
        <v>37.27600000000001</v>
      </c>
      <c r="W159" s="589">
        <f t="shared" si="55"/>
        <v>0</v>
      </c>
      <c r="AF159" s="598">
        <f t="shared" si="56"/>
        <v>0</v>
      </c>
    </row>
    <row r="160" spans="1:32" ht="31.2">
      <c r="A160" s="271">
        <v>14</v>
      </c>
      <c r="B160" s="297" t="s">
        <v>471</v>
      </c>
      <c r="C160" s="227" t="s">
        <v>179</v>
      </c>
      <c r="D160" s="402">
        <v>8005585</v>
      </c>
      <c r="E160" s="273">
        <v>180</v>
      </c>
      <c r="F160" s="221"/>
      <c r="G160" s="273">
        <v>180</v>
      </c>
      <c r="H160" s="221"/>
      <c r="I160" s="540">
        <v>0</v>
      </c>
      <c r="J160" s="540">
        <v>0</v>
      </c>
      <c r="K160" s="545">
        <v>0</v>
      </c>
      <c r="L160" s="534">
        <v>180</v>
      </c>
      <c r="M160" s="540">
        <f t="shared" si="61"/>
        <v>158.36699999999999</v>
      </c>
      <c r="N160" s="664">
        <v>158.36699999999999</v>
      </c>
      <c r="O160" s="546">
        <f t="shared" si="53"/>
        <v>87.981666666666655</v>
      </c>
      <c r="P160" s="540">
        <v>180</v>
      </c>
      <c r="Q160" s="489">
        <f t="shared" si="57"/>
        <v>100</v>
      </c>
      <c r="R160" s="443"/>
      <c r="T160" s="255">
        <v>1</v>
      </c>
      <c r="U160" s="255">
        <v>1</v>
      </c>
      <c r="V160" s="595">
        <f t="shared" si="54"/>
        <v>21.63300000000001</v>
      </c>
      <c r="W160" s="589">
        <f t="shared" si="55"/>
        <v>0</v>
      </c>
      <c r="AF160" s="598">
        <f t="shared" si="56"/>
        <v>0</v>
      </c>
    </row>
    <row r="161" spans="1:32">
      <c r="A161" s="271">
        <v>15</v>
      </c>
      <c r="B161" s="297" t="s">
        <v>263</v>
      </c>
      <c r="C161" s="227" t="s">
        <v>179</v>
      </c>
      <c r="D161" s="402">
        <v>8004997</v>
      </c>
      <c r="E161" s="273">
        <v>610</v>
      </c>
      <c r="F161" s="221"/>
      <c r="G161" s="273">
        <v>574</v>
      </c>
      <c r="H161" s="221"/>
      <c r="I161" s="540">
        <v>0</v>
      </c>
      <c r="J161" s="540">
        <v>0</v>
      </c>
      <c r="K161" s="545">
        <v>0</v>
      </c>
      <c r="L161" s="534">
        <v>574</v>
      </c>
      <c r="M161" s="540">
        <f t="shared" si="61"/>
        <v>569.74480000000005</v>
      </c>
      <c r="N161" s="664">
        <v>569.74480000000005</v>
      </c>
      <c r="O161" s="546">
        <f t="shared" si="53"/>
        <v>99.258675958188164</v>
      </c>
      <c r="P161" s="540">
        <v>574</v>
      </c>
      <c r="Q161" s="489">
        <f t="shared" si="57"/>
        <v>100</v>
      </c>
      <c r="R161" s="443"/>
      <c r="T161" s="255">
        <v>1</v>
      </c>
      <c r="U161" s="255">
        <v>1</v>
      </c>
      <c r="V161" s="595">
        <f t="shared" si="54"/>
        <v>4.2551999999999452</v>
      </c>
      <c r="W161" s="589">
        <f t="shared" si="55"/>
        <v>0</v>
      </c>
      <c r="AF161" s="598">
        <f t="shared" si="56"/>
        <v>0</v>
      </c>
    </row>
    <row r="162" spans="1:32">
      <c r="A162" s="271">
        <v>16</v>
      </c>
      <c r="B162" s="297" t="s">
        <v>472</v>
      </c>
      <c r="C162" s="227" t="s">
        <v>291</v>
      </c>
      <c r="D162" s="402">
        <v>7991262</v>
      </c>
      <c r="E162" s="273">
        <v>513</v>
      </c>
      <c r="F162" s="221"/>
      <c r="G162" s="273">
        <v>513</v>
      </c>
      <c r="H162" s="221"/>
      <c r="I162" s="540">
        <v>0</v>
      </c>
      <c r="J162" s="540">
        <v>0</v>
      </c>
      <c r="K162" s="545">
        <v>0</v>
      </c>
      <c r="L162" s="534">
        <v>513</v>
      </c>
      <c r="M162" s="540">
        <f>N162</f>
        <v>490.73700000000002</v>
      </c>
      <c r="N162" s="664">
        <v>490.73700000000002</v>
      </c>
      <c r="O162" s="546">
        <f t="shared" si="53"/>
        <v>95.660233918128654</v>
      </c>
      <c r="P162" s="540">
        <v>513</v>
      </c>
      <c r="Q162" s="489">
        <f t="shared" si="57"/>
        <v>100</v>
      </c>
      <c r="R162" s="443"/>
      <c r="T162" s="255">
        <v>1</v>
      </c>
      <c r="U162" s="255">
        <v>1</v>
      </c>
      <c r="V162" s="595">
        <f t="shared" si="54"/>
        <v>22.262999999999977</v>
      </c>
      <c r="W162" s="589">
        <f t="shared" si="55"/>
        <v>0</v>
      </c>
      <c r="AF162" s="598">
        <f t="shared" si="56"/>
        <v>0</v>
      </c>
    </row>
    <row r="163" spans="1:32" ht="31.2">
      <c r="A163" s="271">
        <v>17</v>
      </c>
      <c r="B163" s="297" t="s">
        <v>473</v>
      </c>
      <c r="C163" s="227" t="s">
        <v>291</v>
      </c>
      <c r="D163" s="402">
        <v>7991261</v>
      </c>
      <c r="E163" s="273">
        <v>700</v>
      </c>
      <c r="F163" s="221"/>
      <c r="G163" s="273">
        <v>700</v>
      </c>
      <c r="H163" s="221"/>
      <c r="I163" s="540">
        <v>0</v>
      </c>
      <c r="J163" s="540">
        <v>0</v>
      </c>
      <c r="K163" s="545">
        <v>0</v>
      </c>
      <c r="L163" s="534">
        <v>700</v>
      </c>
      <c r="M163" s="540">
        <v>400</v>
      </c>
      <c r="N163" s="664">
        <v>201.0033</v>
      </c>
      <c r="O163" s="546">
        <f t="shared" si="53"/>
        <v>28.714757142857145</v>
      </c>
      <c r="P163" s="540">
        <v>700</v>
      </c>
      <c r="Q163" s="489">
        <f t="shared" si="57"/>
        <v>100</v>
      </c>
      <c r="R163" s="443"/>
      <c r="T163" s="255">
        <v>1</v>
      </c>
      <c r="U163" s="255">
        <v>1</v>
      </c>
      <c r="V163" s="595">
        <f t="shared" si="54"/>
        <v>498.99670000000003</v>
      </c>
      <c r="W163" s="589">
        <f t="shared" si="55"/>
        <v>198.9967</v>
      </c>
      <c r="AF163" s="598">
        <f t="shared" si="56"/>
        <v>0</v>
      </c>
    </row>
    <row r="164" spans="1:32">
      <c r="A164" s="271">
        <v>18</v>
      </c>
      <c r="B164" s="297" t="s">
        <v>264</v>
      </c>
      <c r="C164" s="227" t="s">
        <v>291</v>
      </c>
      <c r="D164" s="402">
        <v>7991260</v>
      </c>
      <c r="E164" s="273">
        <v>1000</v>
      </c>
      <c r="F164" s="221"/>
      <c r="G164" s="273">
        <v>500</v>
      </c>
      <c r="H164" s="221"/>
      <c r="I164" s="540">
        <v>0</v>
      </c>
      <c r="J164" s="540">
        <v>0</v>
      </c>
      <c r="K164" s="545">
        <v>0</v>
      </c>
      <c r="L164" s="534">
        <v>500</v>
      </c>
      <c r="M164" s="540">
        <v>500</v>
      </c>
      <c r="N164" s="664">
        <v>500</v>
      </c>
      <c r="O164" s="546">
        <f t="shared" si="53"/>
        <v>100</v>
      </c>
      <c r="P164" s="540">
        <v>500</v>
      </c>
      <c r="Q164" s="489">
        <f t="shared" si="57"/>
        <v>100</v>
      </c>
      <c r="R164" s="436"/>
      <c r="T164" s="255">
        <v>1</v>
      </c>
      <c r="U164" s="255">
        <v>1</v>
      </c>
      <c r="V164" s="595">
        <f t="shared" si="54"/>
        <v>0</v>
      </c>
      <c r="W164" s="589">
        <f t="shared" si="55"/>
        <v>0</v>
      </c>
      <c r="AF164" s="598">
        <f t="shared" si="56"/>
        <v>0</v>
      </c>
    </row>
    <row r="165" spans="1:32" ht="31.2">
      <c r="A165" s="271">
        <v>19</v>
      </c>
      <c r="B165" s="297" t="s">
        <v>265</v>
      </c>
      <c r="C165" s="414" t="s">
        <v>532</v>
      </c>
      <c r="D165" s="402">
        <v>8004524</v>
      </c>
      <c r="E165" s="273">
        <v>1500</v>
      </c>
      <c r="F165" s="221"/>
      <c r="G165" s="273">
        <v>1422</v>
      </c>
      <c r="H165" s="221">
        <v>132.833</v>
      </c>
      <c r="I165" s="540">
        <v>82.186999999999998</v>
      </c>
      <c r="J165" s="540">
        <v>50.646000000000001</v>
      </c>
      <c r="K165" s="545">
        <v>9.3412798874824183</v>
      </c>
      <c r="L165" s="534">
        <v>1250.8150000000001</v>
      </c>
      <c r="M165" s="540">
        <v>952.82600000000002</v>
      </c>
      <c r="N165" s="664">
        <v>952.82600000000002</v>
      </c>
      <c r="O165" s="546">
        <f t="shared" si="53"/>
        <v>76.176412978737858</v>
      </c>
      <c r="P165" s="540">
        <f>L165</f>
        <v>1250.8150000000001</v>
      </c>
      <c r="Q165" s="489">
        <f t="shared" si="57"/>
        <v>100</v>
      </c>
      <c r="R165" s="436"/>
      <c r="S165" s="365" t="s">
        <v>560</v>
      </c>
      <c r="T165" s="255">
        <v>1</v>
      </c>
      <c r="U165" s="255"/>
      <c r="V165" s="595">
        <f t="shared" si="54"/>
        <v>297.98900000000003</v>
      </c>
      <c r="W165" s="589">
        <f t="shared" si="55"/>
        <v>0</v>
      </c>
      <c r="AF165" s="598">
        <f t="shared" si="56"/>
        <v>0</v>
      </c>
    </row>
    <row r="166" spans="1:32">
      <c r="A166" s="271">
        <v>20</v>
      </c>
      <c r="B166" s="297" t="s">
        <v>474</v>
      </c>
      <c r="C166" s="227" t="s">
        <v>180</v>
      </c>
      <c r="D166" s="402">
        <v>8005001</v>
      </c>
      <c r="E166" s="273">
        <v>500</v>
      </c>
      <c r="F166" s="221"/>
      <c r="G166" s="273">
        <v>500</v>
      </c>
      <c r="H166" s="221"/>
      <c r="I166" s="540">
        <v>0</v>
      </c>
      <c r="J166" s="540">
        <v>0</v>
      </c>
      <c r="K166" s="545">
        <v>0</v>
      </c>
      <c r="L166" s="534">
        <v>500</v>
      </c>
      <c r="M166" s="540">
        <f>N166</f>
        <v>494.68099999999998</v>
      </c>
      <c r="N166" s="664">
        <v>494.68099999999998</v>
      </c>
      <c r="O166" s="546">
        <f t="shared" si="53"/>
        <v>98.936199999999999</v>
      </c>
      <c r="P166" s="540">
        <v>500</v>
      </c>
      <c r="Q166" s="489">
        <f t="shared" si="57"/>
        <v>100</v>
      </c>
      <c r="R166" s="443"/>
      <c r="T166" s="255">
        <v>1</v>
      </c>
      <c r="U166" s="255">
        <v>1</v>
      </c>
      <c r="V166" s="595">
        <f t="shared" si="54"/>
        <v>5.3190000000000168</v>
      </c>
      <c r="W166" s="589">
        <f t="shared" si="55"/>
        <v>0</v>
      </c>
      <c r="AF166" s="598">
        <f t="shared" si="56"/>
        <v>0</v>
      </c>
    </row>
    <row r="167" spans="1:32">
      <c r="A167" s="271">
        <v>21</v>
      </c>
      <c r="B167" s="297" t="s">
        <v>475</v>
      </c>
      <c r="C167" s="227" t="s">
        <v>180</v>
      </c>
      <c r="D167" s="402">
        <v>7992038</v>
      </c>
      <c r="E167" s="273">
        <v>406.6</v>
      </c>
      <c r="F167" s="221"/>
      <c r="G167" s="273">
        <v>278</v>
      </c>
      <c r="H167" s="221">
        <v>276.62400000000002</v>
      </c>
      <c r="I167" s="540">
        <v>276.62400000000002</v>
      </c>
      <c r="J167" s="540">
        <v>0</v>
      </c>
      <c r="K167" s="545">
        <v>99.505035971223037</v>
      </c>
      <c r="L167" s="534">
        <v>1.3759999999999999</v>
      </c>
      <c r="M167" s="540"/>
      <c r="N167" s="664"/>
      <c r="O167" s="546">
        <f t="shared" si="53"/>
        <v>0</v>
      </c>
      <c r="P167" s="540">
        <v>1.3759999999999999</v>
      </c>
      <c r="Q167" s="489">
        <f t="shared" si="57"/>
        <v>100</v>
      </c>
      <c r="R167" s="443"/>
      <c r="T167" s="255">
        <v>1</v>
      </c>
      <c r="U167" s="255"/>
      <c r="V167" s="595">
        <f t="shared" si="54"/>
        <v>1.3759999999999999</v>
      </c>
      <c r="W167" s="589">
        <f t="shared" si="55"/>
        <v>0</v>
      </c>
      <c r="AF167" s="598">
        <f t="shared" si="56"/>
        <v>0</v>
      </c>
    </row>
    <row r="168" spans="1:32">
      <c r="A168" s="271">
        <v>22</v>
      </c>
      <c r="B168" s="297" t="s">
        <v>266</v>
      </c>
      <c r="C168" s="227" t="s">
        <v>180</v>
      </c>
      <c r="D168" s="402">
        <v>8004945</v>
      </c>
      <c r="E168" s="273">
        <v>1475</v>
      </c>
      <c r="F168" s="221"/>
      <c r="G168" s="273">
        <v>775</v>
      </c>
      <c r="H168" s="221"/>
      <c r="I168" s="540">
        <v>0</v>
      </c>
      <c r="J168" s="540">
        <v>0</v>
      </c>
      <c r="K168" s="545">
        <v>0</v>
      </c>
      <c r="L168" s="534">
        <v>775</v>
      </c>
      <c r="M168" s="540">
        <v>775</v>
      </c>
      <c r="N168" s="664">
        <v>775</v>
      </c>
      <c r="O168" s="546">
        <f t="shared" si="53"/>
        <v>100</v>
      </c>
      <c r="P168" s="540">
        <v>775</v>
      </c>
      <c r="Q168" s="489">
        <f t="shared" si="57"/>
        <v>100</v>
      </c>
      <c r="R168" s="443"/>
      <c r="T168" s="255">
        <v>1</v>
      </c>
      <c r="U168" s="255">
        <v>1</v>
      </c>
      <c r="V168" s="595">
        <f t="shared" si="54"/>
        <v>0</v>
      </c>
      <c r="W168" s="589">
        <f t="shared" si="55"/>
        <v>0</v>
      </c>
      <c r="AF168" s="598">
        <f t="shared" si="56"/>
        <v>0</v>
      </c>
    </row>
    <row r="169" spans="1:32">
      <c r="A169" s="271">
        <v>23</v>
      </c>
      <c r="B169" s="297" t="s">
        <v>267</v>
      </c>
      <c r="C169" s="227" t="s">
        <v>180</v>
      </c>
      <c r="D169" s="402">
        <v>8004944</v>
      </c>
      <c r="E169" s="273">
        <v>1480</v>
      </c>
      <c r="F169" s="221"/>
      <c r="G169" s="273">
        <v>700</v>
      </c>
      <c r="H169" s="221"/>
      <c r="I169" s="540">
        <v>0</v>
      </c>
      <c r="J169" s="540">
        <v>0</v>
      </c>
      <c r="K169" s="545">
        <v>0</v>
      </c>
      <c r="L169" s="534">
        <v>700</v>
      </c>
      <c r="M169" s="540">
        <v>700</v>
      </c>
      <c r="N169" s="664">
        <v>700</v>
      </c>
      <c r="O169" s="546">
        <f t="shared" si="53"/>
        <v>100</v>
      </c>
      <c r="P169" s="540">
        <v>700</v>
      </c>
      <c r="Q169" s="489">
        <f t="shared" si="57"/>
        <v>100</v>
      </c>
      <c r="R169" s="443"/>
      <c r="T169" s="255">
        <v>1</v>
      </c>
      <c r="U169" s="255">
        <v>1</v>
      </c>
      <c r="V169" s="595">
        <f t="shared" si="54"/>
        <v>0</v>
      </c>
      <c r="W169" s="589">
        <f t="shared" si="55"/>
        <v>0</v>
      </c>
      <c r="AF169" s="598">
        <f t="shared" si="56"/>
        <v>0</v>
      </c>
    </row>
    <row r="170" spans="1:32">
      <c r="A170" s="271">
        <v>24</v>
      </c>
      <c r="B170" s="297" t="s">
        <v>476</v>
      </c>
      <c r="C170" s="227" t="s">
        <v>182</v>
      </c>
      <c r="D170" s="402">
        <v>8004011</v>
      </c>
      <c r="E170" s="273">
        <v>500</v>
      </c>
      <c r="F170" s="221"/>
      <c r="G170" s="273">
        <v>500</v>
      </c>
      <c r="H170" s="221"/>
      <c r="I170" s="540">
        <v>0</v>
      </c>
      <c r="J170" s="540">
        <v>0</v>
      </c>
      <c r="K170" s="545">
        <v>0</v>
      </c>
      <c r="L170" s="534">
        <v>500</v>
      </c>
      <c r="M170" s="540">
        <f>N170</f>
        <v>466.65499999999997</v>
      </c>
      <c r="N170" s="664">
        <v>466.65499999999997</v>
      </c>
      <c r="O170" s="546">
        <f t="shared" si="53"/>
        <v>93.331000000000003</v>
      </c>
      <c r="P170" s="540">
        <v>500</v>
      </c>
      <c r="Q170" s="489">
        <f t="shared" si="57"/>
        <v>100</v>
      </c>
      <c r="R170" s="443"/>
      <c r="T170" s="255">
        <v>1</v>
      </c>
      <c r="U170" s="255">
        <v>1</v>
      </c>
      <c r="V170" s="595">
        <f t="shared" si="54"/>
        <v>33.345000000000027</v>
      </c>
      <c r="W170" s="589">
        <f t="shared" si="55"/>
        <v>0</v>
      </c>
      <c r="AF170" s="598">
        <f t="shared" si="56"/>
        <v>0</v>
      </c>
    </row>
    <row r="171" spans="1:32">
      <c r="A171" s="271">
        <v>25</v>
      </c>
      <c r="B171" s="297" t="s">
        <v>477</v>
      </c>
      <c r="C171" s="227" t="s">
        <v>182</v>
      </c>
      <c r="D171" s="402">
        <v>8004010</v>
      </c>
      <c r="E171" s="273">
        <v>550</v>
      </c>
      <c r="F171" s="221"/>
      <c r="G171" s="273">
        <v>550</v>
      </c>
      <c r="H171" s="221"/>
      <c r="I171" s="540">
        <v>0</v>
      </c>
      <c r="J171" s="540">
        <v>0</v>
      </c>
      <c r="K171" s="545">
        <v>0</v>
      </c>
      <c r="L171" s="534">
        <v>550</v>
      </c>
      <c r="M171" s="540">
        <f t="shared" ref="M171:M172" si="62">N171</f>
        <v>526.33100000000002</v>
      </c>
      <c r="N171" s="664">
        <v>526.33100000000002</v>
      </c>
      <c r="O171" s="546">
        <f t="shared" si="53"/>
        <v>95.696545454545458</v>
      </c>
      <c r="P171" s="540">
        <v>550</v>
      </c>
      <c r="Q171" s="489">
        <f t="shared" si="57"/>
        <v>100</v>
      </c>
      <c r="R171" s="443"/>
      <c r="T171" s="255">
        <v>1</v>
      </c>
      <c r="U171" s="255">
        <v>1</v>
      </c>
      <c r="V171" s="595">
        <f t="shared" si="54"/>
        <v>23.668999999999983</v>
      </c>
      <c r="W171" s="589">
        <f t="shared" si="55"/>
        <v>0</v>
      </c>
      <c r="AF171" s="598">
        <f t="shared" si="56"/>
        <v>0</v>
      </c>
    </row>
    <row r="172" spans="1:32">
      <c r="A172" s="271">
        <v>26</v>
      </c>
      <c r="B172" s="297" t="s">
        <v>478</v>
      </c>
      <c r="C172" s="227" t="s">
        <v>182</v>
      </c>
      <c r="D172" s="402">
        <v>8004009</v>
      </c>
      <c r="E172" s="273">
        <v>583</v>
      </c>
      <c r="F172" s="221"/>
      <c r="G172" s="273">
        <v>583</v>
      </c>
      <c r="H172" s="221"/>
      <c r="I172" s="540">
        <v>0</v>
      </c>
      <c r="J172" s="540">
        <v>0</v>
      </c>
      <c r="K172" s="545">
        <v>0</v>
      </c>
      <c r="L172" s="534">
        <v>583</v>
      </c>
      <c r="M172" s="540">
        <f t="shared" si="62"/>
        <v>557.91300000000001</v>
      </c>
      <c r="N172" s="664">
        <v>557.91300000000001</v>
      </c>
      <c r="O172" s="546">
        <f t="shared" si="53"/>
        <v>95.696912521440822</v>
      </c>
      <c r="P172" s="540">
        <v>583</v>
      </c>
      <c r="Q172" s="489">
        <f t="shared" si="57"/>
        <v>100</v>
      </c>
      <c r="R172" s="443"/>
      <c r="T172" s="255">
        <v>1</v>
      </c>
      <c r="U172" s="255">
        <v>1</v>
      </c>
      <c r="V172" s="595">
        <f t="shared" si="54"/>
        <v>25.086999999999989</v>
      </c>
      <c r="W172" s="589">
        <f t="shared" si="55"/>
        <v>0</v>
      </c>
      <c r="AF172" s="598">
        <f t="shared" si="56"/>
        <v>0</v>
      </c>
    </row>
    <row r="173" spans="1:32" ht="46.8">
      <c r="A173" s="271">
        <v>27</v>
      </c>
      <c r="B173" s="297" t="s">
        <v>268</v>
      </c>
      <c r="C173" s="227" t="s">
        <v>182</v>
      </c>
      <c r="D173" s="402">
        <v>8004012</v>
      </c>
      <c r="E173" s="273">
        <v>1500</v>
      </c>
      <c r="F173" s="221"/>
      <c r="G173" s="273">
        <v>950</v>
      </c>
      <c r="H173" s="221"/>
      <c r="I173" s="540">
        <v>0</v>
      </c>
      <c r="J173" s="540">
        <v>0</v>
      </c>
      <c r="K173" s="545">
        <v>0</v>
      </c>
      <c r="L173" s="534">
        <v>950</v>
      </c>
      <c r="M173" s="540">
        <v>950</v>
      </c>
      <c r="N173" s="664">
        <v>950</v>
      </c>
      <c r="O173" s="546">
        <f t="shared" si="53"/>
        <v>100</v>
      </c>
      <c r="P173" s="540">
        <v>950</v>
      </c>
      <c r="Q173" s="489">
        <f t="shared" ref="Q173:Q186" si="63">P173/L173*100</f>
        <v>100</v>
      </c>
      <c r="R173" s="443"/>
      <c r="T173" s="255">
        <v>1</v>
      </c>
      <c r="U173" s="255">
        <v>1</v>
      </c>
      <c r="V173" s="595">
        <f t="shared" si="54"/>
        <v>0</v>
      </c>
      <c r="W173" s="589">
        <f t="shared" si="55"/>
        <v>0</v>
      </c>
      <c r="AF173" s="598">
        <f t="shared" si="56"/>
        <v>0</v>
      </c>
    </row>
    <row r="174" spans="1:32" ht="31.2">
      <c r="A174" s="271">
        <v>28</v>
      </c>
      <c r="B174" s="297" t="s">
        <v>479</v>
      </c>
      <c r="C174" s="227" t="s">
        <v>290</v>
      </c>
      <c r="D174" s="402">
        <v>7987329</v>
      </c>
      <c r="E174" s="273">
        <v>1246</v>
      </c>
      <c r="F174" s="221"/>
      <c r="G174" s="273">
        <v>1246</v>
      </c>
      <c r="H174" s="221"/>
      <c r="I174" s="540">
        <v>0</v>
      </c>
      <c r="J174" s="540">
        <v>0</v>
      </c>
      <c r="K174" s="545">
        <v>0</v>
      </c>
      <c r="L174" s="534">
        <v>1246</v>
      </c>
      <c r="M174" s="540">
        <f>N174</f>
        <v>1174.492</v>
      </c>
      <c r="N174" s="664">
        <v>1174.492</v>
      </c>
      <c r="O174" s="546">
        <f t="shared" si="53"/>
        <v>94.260995184590683</v>
      </c>
      <c r="P174" s="540">
        <v>1246</v>
      </c>
      <c r="Q174" s="489">
        <f t="shared" si="63"/>
        <v>100</v>
      </c>
      <c r="R174" s="443"/>
      <c r="T174" s="255">
        <v>1</v>
      </c>
      <c r="U174" s="255">
        <v>1</v>
      </c>
      <c r="V174" s="595">
        <f t="shared" si="54"/>
        <v>71.508000000000038</v>
      </c>
      <c r="W174" s="589">
        <f t="shared" si="55"/>
        <v>0</v>
      </c>
      <c r="AF174" s="598">
        <f t="shared" si="56"/>
        <v>0</v>
      </c>
    </row>
    <row r="175" spans="1:32" ht="31.2">
      <c r="A175" s="271">
        <v>29</v>
      </c>
      <c r="B175" s="297" t="s">
        <v>310</v>
      </c>
      <c r="C175" s="227" t="s">
        <v>290</v>
      </c>
      <c r="D175" s="402" t="s">
        <v>480</v>
      </c>
      <c r="E175" s="273">
        <v>870</v>
      </c>
      <c r="F175" s="221"/>
      <c r="G175" s="273">
        <v>314</v>
      </c>
      <c r="H175" s="221"/>
      <c r="I175" s="540">
        <v>0</v>
      </c>
      <c r="J175" s="540">
        <v>0</v>
      </c>
      <c r="K175" s="545">
        <v>0</v>
      </c>
      <c r="L175" s="534">
        <v>314</v>
      </c>
      <c r="M175" s="540">
        <f>N175</f>
        <v>314</v>
      </c>
      <c r="N175" s="664">
        <v>314</v>
      </c>
      <c r="O175" s="546">
        <f t="shared" si="53"/>
        <v>100</v>
      </c>
      <c r="P175" s="540">
        <v>314</v>
      </c>
      <c r="Q175" s="489">
        <f t="shared" si="63"/>
        <v>100</v>
      </c>
      <c r="R175" s="443"/>
      <c r="S175" s="255" t="s">
        <v>308</v>
      </c>
      <c r="T175" s="255">
        <v>1</v>
      </c>
      <c r="U175" s="255">
        <v>1</v>
      </c>
      <c r="V175" s="595">
        <f t="shared" si="54"/>
        <v>0</v>
      </c>
      <c r="W175" s="589">
        <f t="shared" si="55"/>
        <v>0</v>
      </c>
      <c r="AF175" s="598">
        <f t="shared" si="56"/>
        <v>0</v>
      </c>
    </row>
    <row r="176" spans="1:32" ht="31.2">
      <c r="A176" s="155">
        <v>30</v>
      </c>
      <c r="B176" s="80" t="s">
        <v>391</v>
      </c>
      <c r="C176" s="56" t="s">
        <v>290</v>
      </c>
      <c r="D176" s="692">
        <v>8020175</v>
      </c>
      <c r="E176" s="664">
        <v>1288</v>
      </c>
      <c r="F176" s="630"/>
      <c r="G176" s="664"/>
      <c r="H176" s="630"/>
      <c r="I176" s="553"/>
      <c r="J176" s="553"/>
      <c r="K176" s="693"/>
      <c r="L176" s="669">
        <v>273</v>
      </c>
      <c r="M176" s="553">
        <v>273</v>
      </c>
      <c r="N176" s="664">
        <v>273</v>
      </c>
      <c r="O176" s="694">
        <f t="shared" si="53"/>
        <v>100</v>
      </c>
      <c r="P176" s="553">
        <v>273</v>
      </c>
      <c r="Q176" s="695">
        <f t="shared" si="63"/>
        <v>100</v>
      </c>
      <c r="R176" s="443"/>
      <c r="S176" s="365" t="s">
        <v>612</v>
      </c>
      <c r="T176" s="255"/>
      <c r="U176" s="255"/>
      <c r="V176" s="595">
        <f t="shared" si="54"/>
        <v>0</v>
      </c>
      <c r="W176" s="589"/>
      <c r="AF176" s="598">
        <f t="shared" si="56"/>
        <v>0</v>
      </c>
    </row>
    <row r="177" spans="1:32" ht="31.2">
      <c r="A177" s="271">
        <v>31</v>
      </c>
      <c r="B177" s="297" t="s">
        <v>481</v>
      </c>
      <c r="C177" s="227" t="s">
        <v>289</v>
      </c>
      <c r="D177" s="402">
        <v>8005000</v>
      </c>
      <c r="E177" s="273">
        <v>772</v>
      </c>
      <c r="F177" s="221"/>
      <c r="G177" s="273">
        <v>772</v>
      </c>
      <c r="H177" s="221"/>
      <c r="I177" s="540">
        <v>0</v>
      </c>
      <c r="J177" s="540">
        <v>0</v>
      </c>
      <c r="K177" s="545">
        <v>0</v>
      </c>
      <c r="L177" s="534">
        <v>772</v>
      </c>
      <c r="M177" s="540">
        <f>N177</f>
        <v>172.20750000000001</v>
      </c>
      <c r="N177" s="664">
        <v>172.20750000000001</v>
      </c>
      <c r="O177" s="546">
        <f t="shared" si="53"/>
        <v>22.306670984455959</v>
      </c>
      <c r="P177" s="540">
        <v>772</v>
      </c>
      <c r="Q177" s="489">
        <f t="shared" si="63"/>
        <v>100</v>
      </c>
      <c r="R177" s="443"/>
      <c r="T177" s="255">
        <v>1</v>
      </c>
      <c r="U177" s="255">
        <v>1</v>
      </c>
      <c r="V177" s="595">
        <f t="shared" ref="V177:V221" si="64">L177-N177</f>
        <v>599.79250000000002</v>
      </c>
      <c r="W177" s="589">
        <f t="shared" ref="W177:W221" si="65">M177-N177</f>
        <v>0</v>
      </c>
      <c r="AF177" s="598">
        <f t="shared" si="56"/>
        <v>0</v>
      </c>
    </row>
    <row r="178" spans="1:32">
      <c r="A178" s="271">
        <v>32</v>
      </c>
      <c r="B178" s="337" t="s">
        <v>502</v>
      </c>
      <c r="C178" s="227" t="s">
        <v>289</v>
      </c>
      <c r="D178" s="402">
        <v>7994166</v>
      </c>
      <c r="E178" s="273">
        <v>370.6</v>
      </c>
      <c r="F178" s="221"/>
      <c r="G178" s="273">
        <v>242</v>
      </c>
      <c r="H178" s="221"/>
      <c r="I178" s="540">
        <v>0</v>
      </c>
      <c r="J178" s="540">
        <v>0</v>
      </c>
      <c r="K178" s="545">
        <v>0</v>
      </c>
      <c r="L178" s="534">
        <v>242</v>
      </c>
      <c r="M178" s="540">
        <v>0</v>
      </c>
      <c r="N178" s="664"/>
      <c r="O178" s="546">
        <f t="shared" si="53"/>
        <v>0</v>
      </c>
      <c r="P178" s="540">
        <v>242</v>
      </c>
      <c r="Q178" s="489">
        <f t="shared" si="63"/>
        <v>100</v>
      </c>
      <c r="R178" s="443"/>
      <c r="T178" s="255">
        <v>1</v>
      </c>
      <c r="U178" s="255"/>
      <c r="V178" s="595">
        <f t="shared" si="64"/>
        <v>242</v>
      </c>
      <c r="W178" s="589">
        <f t="shared" si="65"/>
        <v>0</v>
      </c>
      <c r="AF178" s="598">
        <f t="shared" si="56"/>
        <v>0</v>
      </c>
    </row>
    <row r="179" spans="1:32" ht="31.2">
      <c r="A179" s="271">
        <v>33</v>
      </c>
      <c r="B179" s="297" t="s">
        <v>482</v>
      </c>
      <c r="C179" s="414" t="s">
        <v>532</v>
      </c>
      <c r="D179" s="402">
        <v>8006007</v>
      </c>
      <c r="E179" s="273">
        <v>1617</v>
      </c>
      <c r="F179" s="221"/>
      <c r="G179" s="273">
        <v>1617</v>
      </c>
      <c r="H179" s="221">
        <v>103.221</v>
      </c>
      <c r="I179" s="540">
        <v>103.221</v>
      </c>
      <c r="J179" s="540">
        <v>0</v>
      </c>
      <c r="K179" s="545">
        <v>6.3834879406307987</v>
      </c>
      <c r="L179" s="534">
        <v>1313.3430000000001</v>
      </c>
      <c r="M179" s="540">
        <f>N179</f>
        <v>1304.069</v>
      </c>
      <c r="N179" s="664">
        <v>1304.069</v>
      </c>
      <c r="O179" s="546">
        <f t="shared" si="53"/>
        <v>99.293863065474881</v>
      </c>
      <c r="P179" s="540">
        <f>L179</f>
        <v>1313.3430000000001</v>
      </c>
      <c r="Q179" s="489">
        <f t="shared" si="63"/>
        <v>100</v>
      </c>
      <c r="R179" s="513"/>
      <c r="S179" s="365" t="s">
        <v>560</v>
      </c>
      <c r="T179" s="255">
        <v>1</v>
      </c>
      <c r="U179" s="255"/>
      <c r="V179" s="595">
        <f t="shared" si="64"/>
        <v>9.2740000000001146</v>
      </c>
      <c r="W179" s="589">
        <f t="shared" si="65"/>
        <v>0</v>
      </c>
      <c r="AF179" s="598">
        <f t="shared" si="56"/>
        <v>0</v>
      </c>
    </row>
    <row r="180" spans="1:32" ht="31.2">
      <c r="A180" s="271">
        <v>34</v>
      </c>
      <c r="B180" s="297" t="s">
        <v>269</v>
      </c>
      <c r="C180" s="414" t="s">
        <v>532</v>
      </c>
      <c r="D180" s="402">
        <v>8006003</v>
      </c>
      <c r="E180" s="273">
        <v>1000</v>
      </c>
      <c r="F180" s="221"/>
      <c r="G180" s="273">
        <v>900</v>
      </c>
      <c r="H180" s="221">
        <v>314.84899999999999</v>
      </c>
      <c r="I180" s="540">
        <v>46.055</v>
      </c>
      <c r="J180" s="540">
        <v>268.79399999999998</v>
      </c>
      <c r="K180" s="545">
        <v>34.983222222222224</v>
      </c>
      <c r="L180" s="534">
        <v>585.15100000000007</v>
      </c>
      <c r="M180" s="540">
        <f>N180</f>
        <v>585.15099999999995</v>
      </c>
      <c r="N180" s="664">
        <v>585.15099999999995</v>
      </c>
      <c r="O180" s="546">
        <f t="shared" si="53"/>
        <v>99.999999999999972</v>
      </c>
      <c r="P180" s="540">
        <v>585.15100000000007</v>
      </c>
      <c r="Q180" s="489">
        <f t="shared" si="63"/>
        <v>100</v>
      </c>
      <c r="R180" s="513"/>
      <c r="T180" s="255">
        <v>1</v>
      </c>
      <c r="U180" s="255"/>
      <c r="V180" s="595">
        <f t="shared" si="64"/>
        <v>0</v>
      </c>
      <c r="W180" s="589">
        <f t="shared" si="65"/>
        <v>0</v>
      </c>
      <c r="AF180" s="598">
        <f t="shared" si="56"/>
        <v>0</v>
      </c>
    </row>
    <row r="181" spans="1:32" ht="31.2">
      <c r="A181" s="271">
        <v>35</v>
      </c>
      <c r="B181" s="297" t="s">
        <v>270</v>
      </c>
      <c r="C181" s="227" t="s">
        <v>288</v>
      </c>
      <c r="D181" s="402">
        <v>7998198</v>
      </c>
      <c r="E181" s="273">
        <v>1600</v>
      </c>
      <c r="F181" s="221"/>
      <c r="G181" s="273">
        <v>600</v>
      </c>
      <c r="H181" s="221"/>
      <c r="I181" s="540">
        <v>0</v>
      </c>
      <c r="J181" s="540">
        <v>0</v>
      </c>
      <c r="K181" s="545">
        <v>0</v>
      </c>
      <c r="L181" s="534">
        <v>600</v>
      </c>
      <c r="M181" s="540">
        <v>600</v>
      </c>
      <c r="N181" s="664">
        <v>600</v>
      </c>
      <c r="O181" s="546">
        <f t="shared" si="53"/>
        <v>100</v>
      </c>
      <c r="P181" s="540">
        <v>600</v>
      </c>
      <c r="Q181" s="489">
        <f t="shared" si="63"/>
        <v>100</v>
      </c>
      <c r="R181" s="443"/>
      <c r="T181" s="255">
        <v>1</v>
      </c>
      <c r="U181" s="255">
        <v>1</v>
      </c>
      <c r="V181" s="595">
        <f t="shared" si="64"/>
        <v>0</v>
      </c>
      <c r="W181" s="589">
        <f t="shared" si="65"/>
        <v>0</v>
      </c>
      <c r="AF181" s="598">
        <f t="shared" si="56"/>
        <v>0</v>
      </c>
    </row>
    <row r="182" spans="1:32" ht="31.2">
      <c r="A182" s="271">
        <v>36</v>
      </c>
      <c r="B182" s="297" t="s">
        <v>271</v>
      </c>
      <c r="C182" s="227" t="s">
        <v>288</v>
      </c>
      <c r="D182" s="402">
        <v>7998194</v>
      </c>
      <c r="E182" s="273">
        <v>790</v>
      </c>
      <c r="F182" s="221"/>
      <c r="G182" s="273">
        <v>500</v>
      </c>
      <c r="H182" s="221"/>
      <c r="I182" s="540">
        <v>0</v>
      </c>
      <c r="J182" s="540">
        <v>0</v>
      </c>
      <c r="K182" s="545">
        <v>0</v>
      </c>
      <c r="L182" s="534">
        <v>500</v>
      </c>
      <c r="M182" s="540">
        <f>N182</f>
        <v>226.77</v>
      </c>
      <c r="N182" s="664">
        <v>226.77</v>
      </c>
      <c r="O182" s="546">
        <f t="shared" si="53"/>
        <v>45.353999999999999</v>
      </c>
      <c r="P182" s="540">
        <v>500</v>
      </c>
      <c r="Q182" s="489">
        <f t="shared" si="63"/>
        <v>100</v>
      </c>
      <c r="R182" s="443"/>
      <c r="T182" s="255">
        <v>1</v>
      </c>
      <c r="U182" s="255">
        <v>1</v>
      </c>
      <c r="V182" s="595">
        <f t="shared" si="64"/>
        <v>273.23</v>
      </c>
      <c r="W182" s="589">
        <f t="shared" si="65"/>
        <v>0</v>
      </c>
      <c r="AF182" s="598">
        <f t="shared" si="56"/>
        <v>0</v>
      </c>
    </row>
    <row r="183" spans="1:32" ht="31.2">
      <c r="A183" s="271">
        <v>37</v>
      </c>
      <c r="B183" s="297" t="s">
        <v>371</v>
      </c>
      <c r="C183" s="414" t="s">
        <v>532</v>
      </c>
      <c r="D183" s="402">
        <v>8022255</v>
      </c>
      <c r="E183" s="273">
        <v>2800</v>
      </c>
      <c r="F183" s="221"/>
      <c r="G183" s="273"/>
      <c r="H183" s="221"/>
      <c r="I183" s="540"/>
      <c r="J183" s="540"/>
      <c r="K183" s="545"/>
      <c r="L183" s="534">
        <v>238.78800000000001</v>
      </c>
      <c r="M183" s="540">
        <f>N183</f>
        <v>238</v>
      </c>
      <c r="N183" s="664">
        <v>238</v>
      </c>
      <c r="O183" s="546">
        <f t="shared" si="53"/>
        <v>99.670000167512597</v>
      </c>
      <c r="P183" s="540">
        <f>L183</f>
        <v>238.78800000000001</v>
      </c>
      <c r="Q183" s="489">
        <f t="shared" si="63"/>
        <v>100</v>
      </c>
      <c r="R183" s="443"/>
      <c r="S183" s="365" t="s">
        <v>560</v>
      </c>
      <c r="T183" s="255"/>
      <c r="U183" s="255"/>
      <c r="V183" s="595">
        <f t="shared" si="64"/>
        <v>0.78800000000001091</v>
      </c>
      <c r="W183" s="589">
        <f t="shared" si="65"/>
        <v>0</v>
      </c>
      <c r="AF183" s="598">
        <f t="shared" si="56"/>
        <v>0</v>
      </c>
    </row>
    <row r="184" spans="1:32" s="196" customFormat="1" ht="31.2">
      <c r="A184" s="264" t="s">
        <v>52</v>
      </c>
      <c r="B184" s="194" t="s">
        <v>272</v>
      </c>
      <c r="C184" s="252"/>
      <c r="D184" s="402"/>
      <c r="E184" s="259">
        <f>E185</f>
        <v>4309.7</v>
      </c>
      <c r="F184" s="259">
        <f t="shared" ref="F184:N184" si="66">F185</f>
        <v>0</v>
      </c>
      <c r="G184" s="259">
        <f t="shared" si="66"/>
        <v>2914</v>
      </c>
      <c r="H184" s="259">
        <f t="shared" si="66"/>
        <v>482.46699999999998</v>
      </c>
      <c r="I184" s="259">
        <f t="shared" si="66"/>
        <v>79.460999999999999</v>
      </c>
      <c r="J184" s="259">
        <f t="shared" si="66"/>
        <v>403.00599999999997</v>
      </c>
      <c r="K184" s="259">
        <f t="shared" si="66"/>
        <v>93.364830513884442</v>
      </c>
      <c r="L184" s="665">
        <f t="shared" si="66"/>
        <v>2431.5329999999999</v>
      </c>
      <c r="M184" s="259">
        <f t="shared" si="66"/>
        <v>2188.056</v>
      </c>
      <c r="N184" s="666">
        <f t="shared" si="66"/>
        <v>2188.056</v>
      </c>
      <c r="O184" s="544">
        <f t="shared" si="53"/>
        <v>89.986687410781599</v>
      </c>
      <c r="P184" s="430">
        <v>2431.5329999999999</v>
      </c>
      <c r="Q184" s="488">
        <f t="shared" si="63"/>
        <v>100</v>
      </c>
      <c r="R184" s="513"/>
      <c r="S184" s="253"/>
      <c r="T184" s="255"/>
      <c r="U184" s="253"/>
      <c r="V184" s="595">
        <f t="shared" si="64"/>
        <v>243.47699999999986</v>
      </c>
      <c r="W184" s="589">
        <f t="shared" si="65"/>
        <v>0</v>
      </c>
      <c r="AF184" s="598">
        <f t="shared" si="56"/>
        <v>0</v>
      </c>
    </row>
    <row r="185" spans="1:32" s="196" customFormat="1" ht="81">
      <c r="A185" s="298">
        <v>1</v>
      </c>
      <c r="B185" s="299" t="s">
        <v>273</v>
      </c>
      <c r="C185" s="252"/>
      <c r="D185" s="402"/>
      <c r="E185" s="339">
        <f>SUM(E186:E190)</f>
        <v>4309.7</v>
      </c>
      <c r="F185" s="339">
        <f t="shared" ref="F185:N185" si="67">SUM(F186:F190)</f>
        <v>0</v>
      </c>
      <c r="G185" s="339">
        <f t="shared" si="67"/>
        <v>2914</v>
      </c>
      <c r="H185" s="339">
        <f t="shared" si="67"/>
        <v>482.46699999999998</v>
      </c>
      <c r="I185" s="339">
        <f t="shared" si="67"/>
        <v>79.460999999999999</v>
      </c>
      <c r="J185" s="339">
        <f t="shared" si="67"/>
        <v>403.00599999999997</v>
      </c>
      <c r="K185" s="339">
        <f t="shared" si="67"/>
        <v>93.364830513884442</v>
      </c>
      <c r="L185" s="667">
        <f t="shared" si="67"/>
        <v>2431.5329999999999</v>
      </c>
      <c r="M185" s="339">
        <f t="shared" si="67"/>
        <v>2188.056</v>
      </c>
      <c r="N185" s="668">
        <f t="shared" si="67"/>
        <v>2188.056</v>
      </c>
      <c r="O185" s="544">
        <f t="shared" si="53"/>
        <v>89.986687410781599</v>
      </c>
      <c r="P185" s="541">
        <v>2431.5329999999999</v>
      </c>
      <c r="Q185" s="488">
        <f t="shared" si="63"/>
        <v>100</v>
      </c>
      <c r="R185" s="515"/>
      <c r="S185" s="253"/>
      <c r="T185" s="255"/>
      <c r="U185" s="253"/>
      <c r="V185" s="595">
        <f t="shared" si="64"/>
        <v>243.47699999999986</v>
      </c>
      <c r="W185" s="589">
        <f t="shared" si="65"/>
        <v>0</v>
      </c>
      <c r="AF185" s="598">
        <f t="shared" si="56"/>
        <v>0</v>
      </c>
    </row>
    <row r="186" spans="1:32" ht="31.2">
      <c r="A186" s="271" t="s">
        <v>35</v>
      </c>
      <c r="B186" s="297" t="s">
        <v>483</v>
      </c>
      <c r="C186" s="428" t="s">
        <v>532</v>
      </c>
      <c r="D186" s="402">
        <v>8006005</v>
      </c>
      <c r="E186" s="273">
        <v>1156.8</v>
      </c>
      <c r="F186" s="221"/>
      <c r="G186" s="273">
        <v>1156.8</v>
      </c>
      <c r="H186" s="221">
        <v>384.80399999999997</v>
      </c>
      <c r="I186" s="540">
        <v>63.588999999999999</v>
      </c>
      <c r="J186" s="540">
        <v>321.21499999999997</v>
      </c>
      <c r="K186" s="545">
        <v>33.264522821576762</v>
      </c>
      <c r="L186" s="534">
        <v>740.23599999999999</v>
      </c>
      <c r="M186" s="540">
        <f>N186</f>
        <v>701.55100000000004</v>
      </c>
      <c r="N186" s="664">
        <v>701.55100000000004</v>
      </c>
      <c r="O186" s="546">
        <f t="shared" si="53"/>
        <v>94.773963979055338</v>
      </c>
      <c r="P186" s="540">
        <f>L186</f>
        <v>740.23599999999999</v>
      </c>
      <c r="Q186" s="489">
        <f t="shared" si="63"/>
        <v>100</v>
      </c>
      <c r="R186" s="513"/>
      <c r="S186" s="365" t="s">
        <v>560</v>
      </c>
      <c r="T186" s="255">
        <v>1</v>
      </c>
      <c r="U186" s="255"/>
      <c r="V186" s="595">
        <f t="shared" si="64"/>
        <v>38.684999999999945</v>
      </c>
      <c r="W186" s="589">
        <f t="shared" si="65"/>
        <v>0</v>
      </c>
      <c r="AF186" s="598">
        <f t="shared" si="56"/>
        <v>0</v>
      </c>
    </row>
    <row r="187" spans="1:32" ht="31.2">
      <c r="A187" s="271" t="s">
        <v>35</v>
      </c>
      <c r="B187" s="297" t="s">
        <v>484</v>
      </c>
      <c r="C187" s="428" t="s">
        <v>532</v>
      </c>
      <c r="D187" s="402">
        <v>8007052</v>
      </c>
      <c r="E187" s="273">
        <v>550.1</v>
      </c>
      <c r="F187" s="221"/>
      <c r="G187" s="273">
        <v>550.1</v>
      </c>
      <c r="H187" s="221"/>
      <c r="I187" s="540">
        <v>0</v>
      </c>
      <c r="J187" s="540">
        <v>0</v>
      </c>
      <c r="K187" s="545">
        <v>0</v>
      </c>
      <c r="L187" s="534">
        <v>0</v>
      </c>
      <c r="M187" s="540"/>
      <c r="N187" s="664"/>
      <c r="O187" s="546"/>
      <c r="P187" s="540"/>
      <c r="Q187" s="489"/>
      <c r="R187" s="513"/>
      <c r="S187" s="365" t="s">
        <v>560</v>
      </c>
      <c r="T187" s="255">
        <v>1</v>
      </c>
      <c r="U187" s="255"/>
      <c r="V187" s="595">
        <f t="shared" si="64"/>
        <v>0</v>
      </c>
      <c r="W187" s="589">
        <f t="shared" si="65"/>
        <v>0</v>
      </c>
      <c r="AF187" s="598">
        <f t="shared" si="56"/>
        <v>0</v>
      </c>
    </row>
    <row r="188" spans="1:32" ht="31.2">
      <c r="A188" s="271" t="s">
        <v>35</v>
      </c>
      <c r="B188" s="297" t="s">
        <v>398</v>
      </c>
      <c r="C188" s="428" t="s">
        <v>532</v>
      </c>
      <c r="D188" s="402">
        <v>8029550</v>
      </c>
      <c r="E188" s="273">
        <v>1156.8</v>
      </c>
      <c r="F188" s="221"/>
      <c r="G188" s="273"/>
      <c r="H188" s="221"/>
      <c r="I188" s="540"/>
      <c r="J188" s="540"/>
      <c r="K188" s="545"/>
      <c r="L188" s="534">
        <v>581.86</v>
      </c>
      <c r="M188" s="540">
        <f>N188</f>
        <v>581.86</v>
      </c>
      <c r="N188" s="664">
        <v>581.86</v>
      </c>
      <c r="O188" s="546">
        <f t="shared" si="53"/>
        <v>100</v>
      </c>
      <c r="P188" s="540">
        <f>L188</f>
        <v>581.86</v>
      </c>
      <c r="Q188" s="489">
        <f t="shared" ref="Q188:Q206" si="68">P188/L188*100</f>
        <v>100</v>
      </c>
      <c r="R188" s="513"/>
      <c r="S188" s="365" t="s">
        <v>560</v>
      </c>
      <c r="T188" s="255"/>
      <c r="U188" s="255"/>
      <c r="V188" s="595">
        <f t="shared" si="64"/>
        <v>0</v>
      </c>
      <c r="W188" s="589">
        <f t="shared" si="65"/>
        <v>0</v>
      </c>
      <c r="AF188" s="598">
        <f t="shared" si="56"/>
        <v>0</v>
      </c>
    </row>
    <row r="189" spans="1:32" ht="62.4">
      <c r="A189" s="271" t="s">
        <v>35</v>
      </c>
      <c r="B189" s="297" t="s">
        <v>485</v>
      </c>
      <c r="C189" s="428" t="s">
        <v>532</v>
      </c>
      <c r="D189" s="402">
        <v>8006661</v>
      </c>
      <c r="E189" s="273">
        <v>1156.8</v>
      </c>
      <c r="F189" s="221"/>
      <c r="G189" s="273">
        <v>1044.5999999999999</v>
      </c>
      <c r="H189" s="221"/>
      <c r="I189" s="540">
        <v>0</v>
      </c>
      <c r="J189" s="540">
        <v>0</v>
      </c>
      <c r="K189" s="545">
        <v>0</v>
      </c>
      <c r="L189" s="534">
        <v>1044.5999999999999</v>
      </c>
      <c r="M189" s="540">
        <f>N189</f>
        <v>839.80799999999999</v>
      </c>
      <c r="N189" s="664">
        <v>839.80799999999999</v>
      </c>
      <c r="O189" s="546">
        <f t="shared" si="53"/>
        <v>80.395175186674322</v>
      </c>
      <c r="P189" s="540">
        <v>1044.5999999999999</v>
      </c>
      <c r="Q189" s="489">
        <f t="shared" si="68"/>
        <v>100</v>
      </c>
      <c r="R189" s="443"/>
      <c r="S189" s="227"/>
      <c r="T189" s="255">
        <v>1</v>
      </c>
      <c r="U189" s="227"/>
      <c r="V189" s="595">
        <f t="shared" si="64"/>
        <v>204.79199999999992</v>
      </c>
      <c r="W189" s="589">
        <f t="shared" si="65"/>
        <v>0</v>
      </c>
      <c r="AF189" s="598">
        <f t="shared" si="56"/>
        <v>0</v>
      </c>
    </row>
    <row r="190" spans="1:32" ht="31.2">
      <c r="A190" s="271" t="s">
        <v>35</v>
      </c>
      <c r="B190" s="297" t="s">
        <v>274</v>
      </c>
      <c r="C190" s="428" t="s">
        <v>532</v>
      </c>
      <c r="D190" s="402">
        <v>8006004</v>
      </c>
      <c r="E190" s="273">
        <v>289.2</v>
      </c>
      <c r="F190" s="221"/>
      <c r="G190" s="273">
        <v>162.5</v>
      </c>
      <c r="H190" s="273">
        <v>97.662999999999997</v>
      </c>
      <c r="I190" s="540">
        <v>15.872</v>
      </c>
      <c r="J190" s="540">
        <v>81.790999999999997</v>
      </c>
      <c r="K190" s="545">
        <v>60.100307692307688</v>
      </c>
      <c r="L190" s="534">
        <v>64.837000000000003</v>
      </c>
      <c r="M190" s="540">
        <f>N190</f>
        <v>64.837000000000003</v>
      </c>
      <c r="N190" s="664">
        <v>64.837000000000003</v>
      </c>
      <c r="O190" s="546">
        <f t="shared" si="53"/>
        <v>100</v>
      </c>
      <c r="P190" s="540">
        <v>64.837000000000003</v>
      </c>
      <c r="Q190" s="489">
        <f t="shared" si="68"/>
        <v>100</v>
      </c>
      <c r="R190" s="443"/>
      <c r="T190" s="255">
        <v>1</v>
      </c>
      <c r="U190" s="255"/>
      <c r="V190" s="595">
        <f t="shared" si="64"/>
        <v>0</v>
      </c>
      <c r="W190" s="589">
        <f t="shared" si="65"/>
        <v>0</v>
      </c>
      <c r="AF190" s="598">
        <f t="shared" si="56"/>
        <v>0</v>
      </c>
    </row>
    <row r="191" spans="1:32" s="196" customFormat="1" ht="46.8">
      <c r="A191" s="264" t="s">
        <v>275</v>
      </c>
      <c r="B191" s="194" t="s">
        <v>276</v>
      </c>
      <c r="C191" s="252"/>
      <c r="D191" s="402"/>
      <c r="E191" s="259">
        <f>SUM(E192:E206)</f>
        <v>34033.599999999999</v>
      </c>
      <c r="F191" s="259">
        <f t="shared" ref="F191:N191" si="69">SUM(F192:F206)</f>
        <v>0</v>
      </c>
      <c r="G191" s="259">
        <f t="shared" si="69"/>
        <v>7347</v>
      </c>
      <c r="H191" s="259">
        <f t="shared" si="69"/>
        <v>0</v>
      </c>
      <c r="I191" s="259">
        <f t="shared" si="69"/>
        <v>0</v>
      </c>
      <c r="J191" s="259">
        <f t="shared" si="69"/>
        <v>0</v>
      </c>
      <c r="K191" s="259">
        <f t="shared" si="69"/>
        <v>0</v>
      </c>
      <c r="L191" s="665">
        <f t="shared" si="69"/>
        <v>7347</v>
      </c>
      <c r="M191" s="259">
        <f t="shared" si="69"/>
        <v>6368.1819999999998</v>
      </c>
      <c r="N191" s="666">
        <f t="shared" si="69"/>
        <v>6368.1819999999998</v>
      </c>
      <c r="O191" s="544">
        <f t="shared" si="53"/>
        <v>86.677310466857222</v>
      </c>
      <c r="P191" s="430">
        <v>7347</v>
      </c>
      <c r="Q191" s="488">
        <f t="shared" si="68"/>
        <v>100</v>
      </c>
      <c r="R191" s="513"/>
      <c r="S191" s="253"/>
      <c r="T191" s="255"/>
      <c r="U191" s="253"/>
      <c r="V191" s="595">
        <f t="shared" si="64"/>
        <v>978.81800000000021</v>
      </c>
      <c r="W191" s="589">
        <f t="shared" si="65"/>
        <v>0</v>
      </c>
      <c r="AF191" s="598">
        <f t="shared" si="56"/>
        <v>0</v>
      </c>
    </row>
    <row r="192" spans="1:32" ht="31.2">
      <c r="A192" s="271">
        <v>1</v>
      </c>
      <c r="B192" s="300" t="s">
        <v>486</v>
      </c>
      <c r="C192" s="227" t="s">
        <v>182</v>
      </c>
      <c r="D192" s="402">
        <v>8004990</v>
      </c>
      <c r="E192" s="273">
        <v>350</v>
      </c>
      <c r="F192" s="221"/>
      <c r="G192" s="273">
        <v>350</v>
      </c>
      <c r="H192" s="221"/>
      <c r="I192" s="540">
        <v>0</v>
      </c>
      <c r="J192" s="540">
        <v>0</v>
      </c>
      <c r="K192" s="545">
        <v>0</v>
      </c>
      <c r="L192" s="534">
        <v>350</v>
      </c>
      <c r="M192" s="540">
        <f>N192</f>
        <v>261.565</v>
      </c>
      <c r="N192" s="664">
        <v>261.565</v>
      </c>
      <c r="O192" s="546">
        <f t="shared" si="53"/>
        <v>74.732857142857142</v>
      </c>
      <c r="P192" s="540">
        <v>350</v>
      </c>
      <c r="Q192" s="489">
        <f t="shared" si="68"/>
        <v>100</v>
      </c>
      <c r="R192" s="443"/>
      <c r="T192" s="255">
        <v>1</v>
      </c>
      <c r="U192" s="255">
        <v>1</v>
      </c>
      <c r="V192" s="595">
        <f t="shared" si="64"/>
        <v>88.435000000000002</v>
      </c>
      <c r="W192" s="589">
        <f t="shared" si="65"/>
        <v>0</v>
      </c>
      <c r="AF192" s="598">
        <f t="shared" si="56"/>
        <v>0</v>
      </c>
    </row>
    <row r="193" spans="1:32">
      <c r="A193" s="271">
        <v>2</v>
      </c>
      <c r="B193" s="297" t="s">
        <v>423</v>
      </c>
      <c r="C193" s="227" t="s">
        <v>178</v>
      </c>
      <c r="D193" s="402">
        <v>7994170</v>
      </c>
      <c r="E193" s="273">
        <v>999.6</v>
      </c>
      <c r="F193" s="221"/>
      <c r="G193" s="273">
        <v>328</v>
      </c>
      <c r="H193" s="221"/>
      <c r="I193" s="540">
        <v>0</v>
      </c>
      <c r="J193" s="540">
        <v>0</v>
      </c>
      <c r="K193" s="545">
        <v>0</v>
      </c>
      <c r="L193" s="534">
        <v>328</v>
      </c>
      <c r="M193" s="540">
        <f>N193</f>
        <v>27.189</v>
      </c>
      <c r="N193" s="664">
        <v>27.189</v>
      </c>
      <c r="O193" s="546">
        <f t="shared" si="53"/>
        <v>8.2893292682926827</v>
      </c>
      <c r="P193" s="540">
        <v>328</v>
      </c>
      <c r="Q193" s="489">
        <f t="shared" si="68"/>
        <v>100</v>
      </c>
      <c r="R193" s="443"/>
      <c r="T193" s="255">
        <v>1</v>
      </c>
      <c r="U193" s="255"/>
      <c r="V193" s="595">
        <f t="shared" si="64"/>
        <v>300.81099999999998</v>
      </c>
      <c r="W193" s="589">
        <f t="shared" si="65"/>
        <v>0</v>
      </c>
      <c r="AF193" s="598">
        <f t="shared" si="56"/>
        <v>0</v>
      </c>
    </row>
    <row r="194" spans="1:32" ht="31.2">
      <c r="A194" s="271">
        <v>3</v>
      </c>
      <c r="B194" s="297" t="s">
        <v>487</v>
      </c>
      <c r="C194" s="227" t="s">
        <v>178</v>
      </c>
      <c r="D194" s="402">
        <v>7998825</v>
      </c>
      <c r="E194" s="273">
        <v>59</v>
      </c>
      <c r="F194" s="221"/>
      <c r="G194" s="273">
        <v>59</v>
      </c>
      <c r="H194" s="221"/>
      <c r="I194" s="540">
        <v>0</v>
      </c>
      <c r="J194" s="540">
        <v>0</v>
      </c>
      <c r="K194" s="545">
        <v>0</v>
      </c>
      <c r="L194" s="534">
        <v>59</v>
      </c>
      <c r="M194" s="540">
        <f t="shared" ref="M194:M199" si="70">N194</f>
        <v>55.183999999999997</v>
      </c>
      <c r="N194" s="664">
        <v>55.183999999999997</v>
      </c>
      <c r="O194" s="546">
        <f t="shared" si="53"/>
        <v>93.532203389830499</v>
      </c>
      <c r="P194" s="540">
        <v>59</v>
      </c>
      <c r="Q194" s="489">
        <f t="shared" si="68"/>
        <v>100</v>
      </c>
      <c r="R194" s="443"/>
      <c r="T194" s="255">
        <v>1</v>
      </c>
      <c r="U194" s="255">
        <v>1</v>
      </c>
      <c r="V194" s="595">
        <f t="shared" si="64"/>
        <v>3.8160000000000025</v>
      </c>
      <c r="W194" s="589">
        <f t="shared" si="65"/>
        <v>0</v>
      </c>
      <c r="AF194" s="598">
        <f t="shared" si="56"/>
        <v>0</v>
      </c>
    </row>
    <row r="195" spans="1:32" ht="31.2">
      <c r="A195" s="271">
        <v>4</v>
      </c>
      <c r="B195" s="297" t="s">
        <v>488</v>
      </c>
      <c r="C195" s="227" t="s">
        <v>287</v>
      </c>
      <c r="D195" s="402">
        <v>8005574</v>
      </c>
      <c r="E195" s="273">
        <v>387</v>
      </c>
      <c r="F195" s="221"/>
      <c r="G195" s="273">
        <v>387</v>
      </c>
      <c r="H195" s="221"/>
      <c r="I195" s="540">
        <v>0</v>
      </c>
      <c r="J195" s="540">
        <v>0</v>
      </c>
      <c r="K195" s="545">
        <v>0</v>
      </c>
      <c r="L195" s="534">
        <v>387</v>
      </c>
      <c r="M195" s="540">
        <f t="shared" si="70"/>
        <v>375.80599999999998</v>
      </c>
      <c r="N195" s="664">
        <v>375.80599999999998</v>
      </c>
      <c r="O195" s="546">
        <f t="shared" si="53"/>
        <v>97.107493540051664</v>
      </c>
      <c r="P195" s="540">
        <v>387</v>
      </c>
      <c r="Q195" s="489">
        <f t="shared" si="68"/>
        <v>100</v>
      </c>
      <c r="R195" s="443"/>
      <c r="T195" s="255">
        <v>1</v>
      </c>
      <c r="U195" s="255">
        <v>1</v>
      </c>
      <c r="V195" s="595">
        <f t="shared" si="64"/>
        <v>11.194000000000017</v>
      </c>
      <c r="W195" s="589">
        <f t="shared" si="65"/>
        <v>0</v>
      </c>
      <c r="AF195" s="598">
        <f t="shared" si="56"/>
        <v>0</v>
      </c>
    </row>
    <row r="196" spans="1:32" ht="31.2">
      <c r="A196" s="271">
        <v>5</v>
      </c>
      <c r="B196" s="297" t="s">
        <v>489</v>
      </c>
      <c r="C196" s="227" t="s">
        <v>179</v>
      </c>
      <c r="D196" s="402">
        <v>8004996</v>
      </c>
      <c r="E196" s="273">
        <v>387</v>
      </c>
      <c r="F196" s="221"/>
      <c r="G196" s="273">
        <v>387</v>
      </c>
      <c r="H196" s="221"/>
      <c r="I196" s="540">
        <v>0</v>
      </c>
      <c r="J196" s="540">
        <v>0</v>
      </c>
      <c r="K196" s="545">
        <v>0</v>
      </c>
      <c r="L196" s="534">
        <v>387</v>
      </c>
      <c r="M196" s="540">
        <f t="shared" si="70"/>
        <v>291.18400000000003</v>
      </c>
      <c r="N196" s="664">
        <v>291.18400000000003</v>
      </c>
      <c r="O196" s="546">
        <f t="shared" si="53"/>
        <v>75.241343669250654</v>
      </c>
      <c r="P196" s="540">
        <v>387</v>
      </c>
      <c r="Q196" s="489">
        <f t="shared" si="68"/>
        <v>100</v>
      </c>
      <c r="R196" s="443"/>
      <c r="T196" s="255">
        <v>1</v>
      </c>
      <c r="U196" s="255">
        <v>1</v>
      </c>
      <c r="V196" s="595">
        <f t="shared" si="64"/>
        <v>95.815999999999974</v>
      </c>
      <c r="W196" s="589">
        <f t="shared" si="65"/>
        <v>0</v>
      </c>
      <c r="AF196" s="598">
        <f t="shared" si="56"/>
        <v>0</v>
      </c>
    </row>
    <row r="197" spans="1:32" ht="31.2">
      <c r="A197" s="271">
        <v>6</v>
      </c>
      <c r="B197" s="297" t="s">
        <v>490</v>
      </c>
      <c r="C197" s="227" t="s">
        <v>175</v>
      </c>
      <c r="D197" s="402">
        <v>8005581</v>
      </c>
      <c r="E197" s="273">
        <v>104</v>
      </c>
      <c r="F197" s="221"/>
      <c r="G197" s="273">
        <v>104</v>
      </c>
      <c r="H197" s="221"/>
      <c r="I197" s="540">
        <v>0</v>
      </c>
      <c r="J197" s="540">
        <v>0</v>
      </c>
      <c r="K197" s="545">
        <v>0</v>
      </c>
      <c r="L197" s="534">
        <v>104</v>
      </c>
      <c r="M197" s="540">
        <f t="shared" si="70"/>
        <v>29</v>
      </c>
      <c r="N197" s="664">
        <v>29</v>
      </c>
      <c r="O197" s="546">
        <f t="shared" si="53"/>
        <v>27.884615384615387</v>
      </c>
      <c r="P197" s="540">
        <v>104</v>
      </c>
      <c r="Q197" s="489">
        <f t="shared" si="68"/>
        <v>100</v>
      </c>
      <c r="R197" s="443"/>
      <c r="T197" s="255">
        <v>1</v>
      </c>
      <c r="U197" s="255">
        <v>1</v>
      </c>
      <c r="V197" s="595">
        <f t="shared" si="64"/>
        <v>75</v>
      </c>
      <c r="W197" s="589">
        <f t="shared" si="65"/>
        <v>0</v>
      </c>
      <c r="AF197" s="598">
        <f t="shared" si="56"/>
        <v>0</v>
      </c>
    </row>
    <row r="198" spans="1:32" ht="31.2">
      <c r="A198" s="271">
        <v>7</v>
      </c>
      <c r="B198" s="297" t="s">
        <v>491</v>
      </c>
      <c r="C198" s="255" t="s">
        <v>184</v>
      </c>
      <c r="D198" s="402">
        <v>7998827</v>
      </c>
      <c r="E198" s="273">
        <v>426</v>
      </c>
      <c r="F198" s="221"/>
      <c r="G198" s="273">
        <v>426</v>
      </c>
      <c r="H198" s="221"/>
      <c r="I198" s="540">
        <v>0</v>
      </c>
      <c r="J198" s="540">
        <v>0</v>
      </c>
      <c r="K198" s="545">
        <v>0</v>
      </c>
      <c r="L198" s="534">
        <v>426</v>
      </c>
      <c r="M198" s="540">
        <f t="shared" si="70"/>
        <v>326.30700000000002</v>
      </c>
      <c r="N198" s="664">
        <v>326.30700000000002</v>
      </c>
      <c r="O198" s="546">
        <f t="shared" si="53"/>
        <v>76.597887323943667</v>
      </c>
      <c r="P198" s="540">
        <v>426</v>
      </c>
      <c r="Q198" s="489">
        <f t="shared" si="68"/>
        <v>100</v>
      </c>
      <c r="R198" s="443"/>
      <c r="T198" s="255">
        <v>1</v>
      </c>
      <c r="U198" s="255">
        <v>1</v>
      </c>
      <c r="V198" s="595">
        <f t="shared" si="64"/>
        <v>99.692999999999984</v>
      </c>
      <c r="W198" s="589">
        <f t="shared" si="65"/>
        <v>0</v>
      </c>
      <c r="AF198" s="598">
        <f t="shared" si="56"/>
        <v>0</v>
      </c>
    </row>
    <row r="199" spans="1:32" ht="31.2">
      <c r="A199" s="271">
        <v>8</v>
      </c>
      <c r="B199" s="297" t="s">
        <v>492</v>
      </c>
      <c r="C199" s="255" t="s">
        <v>184</v>
      </c>
      <c r="D199" s="402">
        <v>7998826</v>
      </c>
      <c r="E199" s="273">
        <v>426</v>
      </c>
      <c r="F199" s="221"/>
      <c r="G199" s="273">
        <v>426</v>
      </c>
      <c r="H199" s="221"/>
      <c r="I199" s="540">
        <v>0</v>
      </c>
      <c r="J199" s="540">
        <v>0</v>
      </c>
      <c r="K199" s="545">
        <v>0</v>
      </c>
      <c r="L199" s="534">
        <v>426</v>
      </c>
      <c r="M199" s="540">
        <f t="shared" si="70"/>
        <v>284.03399999999999</v>
      </c>
      <c r="N199" s="664">
        <v>284.03399999999999</v>
      </c>
      <c r="O199" s="546">
        <f t="shared" si="53"/>
        <v>66.674647887323943</v>
      </c>
      <c r="P199" s="540">
        <v>426</v>
      </c>
      <c r="Q199" s="489">
        <f t="shared" si="68"/>
        <v>100</v>
      </c>
      <c r="R199" s="443"/>
      <c r="T199" s="255">
        <v>1</v>
      </c>
      <c r="U199" s="255">
        <v>1</v>
      </c>
      <c r="V199" s="595">
        <f t="shared" si="64"/>
        <v>141.96600000000001</v>
      </c>
      <c r="W199" s="589">
        <f t="shared" si="65"/>
        <v>0</v>
      </c>
      <c r="AF199" s="598">
        <f t="shared" si="56"/>
        <v>0</v>
      </c>
    </row>
    <row r="200" spans="1:32">
      <c r="A200" s="271">
        <v>9</v>
      </c>
      <c r="B200" s="297" t="s">
        <v>493</v>
      </c>
      <c r="C200" s="227" t="s">
        <v>183</v>
      </c>
      <c r="D200" s="402">
        <v>7987325</v>
      </c>
      <c r="E200" s="273">
        <v>500</v>
      </c>
      <c r="F200" s="221"/>
      <c r="G200" s="273">
        <v>500</v>
      </c>
      <c r="H200" s="221"/>
      <c r="I200" s="540">
        <v>0</v>
      </c>
      <c r="J200" s="540">
        <v>0</v>
      </c>
      <c r="K200" s="545">
        <v>0</v>
      </c>
      <c r="L200" s="534">
        <v>500</v>
      </c>
      <c r="M200" s="553">
        <f>N200</f>
        <v>489.221</v>
      </c>
      <c r="N200" s="664">
        <v>489.221</v>
      </c>
      <c r="O200" s="546">
        <f t="shared" si="53"/>
        <v>97.844200000000001</v>
      </c>
      <c r="P200" s="540">
        <v>500</v>
      </c>
      <c r="Q200" s="489">
        <f t="shared" si="68"/>
        <v>100</v>
      </c>
      <c r="R200" s="443"/>
      <c r="T200" s="255">
        <v>1</v>
      </c>
      <c r="U200" s="255">
        <v>1</v>
      </c>
      <c r="V200" s="595">
        <f t="shared" si="64"/>
        <v>10.778999999999996</v>
      </c>
      <c r="W200" s="589">
        <f t="shared" si="65"/>
        <v>0</v>
      </c>
      <c r="AF200" s="598">
        <f t="shared" si="56"/>
        <v>0</v>
      </c>
    </row>
    <row r="201" spans="1:32" ht="31.2">
      <c r="A201" s="271">
        <v>10</v>
      </c>
      <c r="B201" s="297" t="s">
        <v>277</v>
      </c>
      <c r="C201" s="428" t="s">
        <v>532</v>
      </c>
      <c r="D201" s="402">
        <v>7990602</v>
      </c>
      <c r="E201" s="273">
        <v>16095</v>
      </c>
      <c r="F201" s="221"/>
      <c r="G201" s="273">
        <v>1000</v>
      </c>
      <c r="H201" s="221"/>
      <c r="I201" s="540">
        <v>0</v>
      </c>
      <c r="J201" s="540">
        <v>0</v>
      </c>
      <c r="K201" s="545">
        <v>0</v>
      </c>
      <c r="L201" s="534">
        <v>1000</v>
      </c>
      <c r="M201" s="643">
        <f>N201</f>
        <v>1000</v>
      </c>
      <c r="N201" s="664">
        <v>1000</v>
      </c>
      <c r="O201" s="546">
        <f t="shared" si="53"/>
        <v>100</v>
      </c>
      <c r="P201" s="540">
        <v>1000</v>
      </c>
      <c r="Q201" s="489">
        <f t="shared" si="68"/>
        <v>100</v>
      </c>
      <c r="R201" s="443"/>
      <c r="T201" s="255">
        <v>1</v>
      </c>
      <c r="U201" s="255"/>
      <c r="V201" s="595">
        <f t="shared" si="64"/>
        <v>0</v>
      </c>
      <c r="W201" s="589">
        <f t="shared" si="65"/>
        <v>0</v>
      </c>
      <c r="AF201" s="598">
        <f t="shared" si="56"/>
        <v>0</v>
      </c>
    </row>
    <row r="202" spans="1:32" ht="31.2">
      <c r="A202" s="271">
        <v>11</v>
      </c>
      <c r="B202" s="297" t="s">
        <v>278</v>
      </c>
      <c r="C202" s="428" t="s">
        <v>532</v>
      </c>
      <c r="D202" s="402">
        <v>7990603</v>
      </c>
      <c r="E202" s="273">
        <v>10500</v>
      </c>
      <c r="F202" s="221"/>
      <c r="G202" s="273">
        <v>500</v>
      </c>
      <c r="H202" s="221"/>
      <c r="I202" s="540">
        <v>0</v>
      </c>
      <c r="J202" s="540">
        <v>0</v>
      </c>
      <c r="K202" s="545">
        <v>0</v>
      </c>
      <c r="L202" s="534">
        <v>500</v>
      </c>
      <c r="M202" s="540">
        <v>500</v>
      </c>
      <c r="N202" s="664">
        <v>500</v>
      </c>
      <c r="O202" s="546">
        <f t="shared" si="53"/>
        <v>100</v>
      </c>
      <c r="P202" s="540">
        <v>500</v>
      </c>
      <c r="Q202" s="489">
        <f t="shared" si="68"/>
        <v>100</v>
      </c>
      <c r="R202" s="443"/>
      <c r="T202" s="255">
        <v>1</v>
      </c>
      <c r="U202" s="255"/>
      <c r="V202" s="595">
        <f t="shared" si="64"/>
        <v>0</v>
      </c>
      <c r="W202" s="589">
        <f t="shared" si="65"/>
        <v>0</v>
      </c>
      <c r="AF202" s="598">
        <f t="shared" si="56"/>
        <v>0</v>
      </c>
    </row>
    <row r="203" spans="1:32">
      <c r="A203" s="271">
        <v>12</v>
      </c>
      <c r="B203" s="297" t="s">
        <v>279</v>
      </c>
      <c r="C203" s="227" t="s">
        <v>179</v>
      </c>
      <c r="D203" s="402">
        <v>8004995</v>
      </c>
      <c r="E203" s="273">
        <v>950</v>
      </c>
      <c r="F203" s="221"/>
      <c r="G203" s="273">
        <v>740</v>
      </c>
      <c r="H203" s="221"/>
      <c r="I203" s="540">
        <v>0</v>
      </c>
      <c r="J203" s="540">
        <v>0</v>
      </c>
      <c r="K203" s="545">
        <v>0</v>
      </c>
      <c r="L203" s="534">
        <v>740</v>
      </c>
      <c r="M203" s="540">
        <f>N203</f>
        <v>740</v>
      </c>
      <c r="N203" s="664">
        <v>740</v>
      </c>
      <c r="O203" s="546">
        <f t="shared" si="53"/>
        <v>100</v>
      </c>
      <c r="P203" s="540">
        <v>740</v>
      </c>
      <c r="Q203" s="489">
        <f t="shared" si="68"/>
        <v>100</v>
      </c>
      <c r="R203" s="443"/>
      <c r="T203" s="255">
        <v>1</v>
      </c>
      <c r="U203" s="255">
        <v>1</v>
      </c>
      <c r="V203" s="595">
        <f t="shared" si="64"/>
        <v>0</v>
      </c>
      <c r="W203" s="589">
        <f t="shared" si="65"/>
        <v>0</v>
      </c>
      <c r="AF203" s="598">
        <f t="shared" ref="AF203:AF266" si="71">L203-P203</f>
        <v>0</v>
      </c>
    </row>
    <row r="204" spans="1:32">
      <c r="A204" s="271">
        <v>13</v>
      </c>
      <c r="B204" s="297" t="s">
        <v>280</v>
      </c>
      <c r="C204" s="227" t="s">
        <v>179</v>
      </c>
      <c r="D204" s="402">
        <v>8006666</v>
      </c>
      <c r="E204" s="273">
        <v>950</v>
      </c>
      <c r="F204" s="221"/>
      <c r="G204" s="273">
        <v>740</v>
      </c>
      <c r="H204" s="221"/>
      <c r="I204" s="540">
        <v>0</v>
      </c>
      <c r="J204" s="540">
        <v>0</v>
      </c>
      <c r="K204" s="545">
        <v>0</v>
      </c>
      <c r="L204" s="534">
        <v>740</v>
      </c>
      <c r="M204" s="540">
        <f>N204</f>
        <v>740</v>
      </c>
      <c r="N204" s="664">
        <v>740</v>
      </c>
      <c r="O204" s="546">
        <f t="shared" si="53"/>
        <v>100</v>
      </c>
      <c r="P204" s="540">
        <v>740</v>
      </c>
      <c r="Q204" s="489">
        <f t="shared" si="68"/>
        <v>100</v>
      </c>
      <c r="R204" s="443"/>
      <c r="T204" s="255">
        <v>1</v>
      </c>
      <c r="U204" s="255">
        <v>1</v>
      </c>
      <c r="V204" s="595">
        <f t="shared" si="64"/>
        <v>0</v>
      </c>
      <c r="W204" s="589">
        <f t="shared" si="65"/>
        <v>0</v>
      </c>
      <c r="AF204" s="598">
        <f t="shared" si="71"/>
        <v>0</v>
      </c>
    </row>
    <row r="205" spans="1:32">
      <c r="A205" s="271">
        <v>14</v>
      </c>
      <c r="B205" s="297" t="s">
        <v>281</v>
      </c>
      <c r="C205" s="227" t="s">
        <v>185</v>
      </c>
      <c r="D205" s="402">
        <v>7998192</v>
      </c>
      <c r="E205" s="273">
        <v>950</v>
      </c>
      <c r="F205" s="221"/>
      <c r="G205" s="273">
        <v>700</v>
      </c>
      <c r="H205" s="221"/>
      <c r="I205" s="540">
        <v>0</v>
      </c>
      <c r="J205" s="540">
        <v>0</v>
      </c>
      <c r="K205" s="545">
        <v>0</v>
      </c>
      <c r="L205" s="534">
        <v>700</v>
      </c>
      <c r="M205" s="540">
        <f>N205</f>
        <v>548.69200000000001</v>
      </c>
      <c r="N205" s="664">
        <v>548.69200000000001</v>
      </c>
      <c r="O205" s="546">
        <f t="shared" si="53"/>
        <v>78.384571428571419</v>
      </c>
      <c r="P205" s="540">
        <v>700</v>
      </c>
      <c r="Q205" s="489">
        <f t="shared" si="68"/>
        <v>100</v>
      </c>
      <c r="R205" s="443"/>
      <c r="T205" s="255">
        <v>1</v>
      </c>
      <c r="U205" s="255">
        <v>1</v>
      </c>
      <c r="V205" s="595">
        <f t="shared" si="64"/>
        <v>151.30799999999999</v>
      </c>
      <c r="W205" s="589">
        <f t="shared" si="65"/>
        <v>0</v>
      </c>
      <c r="AF205" s="598">
        <f t="shared" si="71"/>
        <v>0</v>
      </c>
    </row>
    <row r="206" spans="1:32">
      <c r="A206" s="271">
        <v>15</v>
      </c>
      <c r="B206" s="297" t="s">
        <v>282</v>
      </c>
      <c r="C206" s="227" t="s">
        <v>181</v>
      </c>
      <c r="D206" s="402">
        <v>7994163</v>
      </c>
      <c r="E206" s="273">
        <v>950</v>
      </c>
      <c r="F206" s="221"/>
      <c r="G206" s="273">
        <v>700</v>
      </c>
      <c r="H206" s="221"/>
      <c r="I206" s="540">
        <v>0</v>
      </c>
      <c r="J206" s="540">
        <v>0</v>
      </c>
      <c r="K206" s="545">
        <v>0</v>
      </c>
      <c r="L206" s="534">
        <v>700</v>
      </c>
      <c r="M206" s="540">
        <f>N206</f>
        <v>700</v>
      </c>
      <c r="N206" s="664">
        <v>700</v>
      </c>
      <c r="O206" s="546">
        <f t="shared" ref="O206:O221" si="72">N206/L206*100</f>
        <v>100</v>
      </c>
      <c r="P206" s="540">
        <v>700</v>
      </c>
      <c r="Q206" s="489">
        <f t="shared" si="68"/>
        <v>100</v>
      </c>
      <c r="R206" s="443"/>
      <c r="T206" s="255">
        <v>1</v>
      </c>
      <c r="U206" s="255">
        <v>1</v>
      </c>
      <c r="V206" s="595">
        <f t="shared" si="64"/>
        <v>0</v>
      </c>
      <c r="W206" s="589">
        <f t="shared" si="65"/>
        <v>0</v>
      </c>
      <c r="AF206" s="598">
        <f t="shared" si="71"/>
        <v>0</v>
      </c>
    </row>
    <row r="207" spans="1:32" s="196" customFormat="1" ht="62.4" hidden="1">
      <c r="A207" s="264" t="s">
        <v>283</v>
      </c>
      <c r="B207" s="194" t="s">
        <v>284</v>
      </c>
      <c r="C207" s="252"/>
      <c r="D207" s="252"/>
      <c r="E207" s="259">
        <f>E208</f>
        <v>0</v>
      </c>
      <c r="F207" s="259">
        <f t="shared" ref="F207:N207" si="73">F208</f>
        <v>0</v>
      </c>
      <c r="G207" s="259">
        <f t="shared" si="73"/>
        <v>273</v>
      </c>
      <c r="H207" s="259">
        <f t="shared" si="73"/>
        <v>0</v>
      </c>
      <c r="I207" s="259">
        <f t="shared" si="73"/>
        <v>0</v>
      </c>
      <c r="J207" s="259">
        <f t="shared" si="73"/>
        <v>0</v>
      </c>
      <c r="K207" s="259">
        <f t="shared" si="73"/>
        <v>0</v>
      </c>
      <c r="L207" s="665">
        <f t="shared" si="73"/>
        <v>0</v>
      </c>
      <c r="M207" s="259">
        <f t="shared" si="73"/>
        <v>0</v>
      </c>
      <c r="N207" s="666">
        <f t="shared" si="73"/>
        <v>0</v>
      </c>
      <c r="O207" s="546" t="e">
        <f t="shared" si="72"/>
        <v>#DIV/0!</v>
      </c>
      <c r="P207" s="430"/>
      <c r="Q207" s="488"/>
      <c r="R207" s="514"/>
      <c r="S207" s="532" t="s">
        <v>564</v>
      </c>
      <c r="T207" s="255"/>
      <c r="U207" s="253"/>
      <c r="V207" s="595">
        <f t="shared" si="64"/>
        <v>0</v>
      </c>
      <c r="W207" s="589">
        <f t="shared" si="65"/>
        <v>0</v>
      </c>
      <c r="AF207" s="598">
        <f t="shared" si="71"/>
        <v>0</v>
      </c>
    </row>
    <row r="208" spans="1:32" s="196" customFormat="1" ht="64.8" hidden="1">
      <c r="A208" s="298">
        <v>1</v>
      </c>
      <c r="B208" s="301" t="s">
        <v>285</v>
      </c>
      <c r="C208" s="252"/>
      <c r="D208" s="252"/>
      <c r="E208" s="339">
        <f>E210</f>
        <v>0</v>
      </c>
      <c r="F208" s="204"/>
      <c r="G208" s="339">
        <f t="shared" ref="G208" si="74">G210</f>
        <v>273</v>
      </c>
      <c r="H208" s="339">
        <v>0</v>
      </c>
      <c r="I208" s="540">
        <v>0</v>
      </c>
      <c r="J208" s="540">
        <v>0</v>
      </c>
      <c r="K208" s="545">
        <v>0</v>
      </c>
      <c r="L208" s="670"/>
      <c r="M208" s="540">
        <v>0</v>
      </c>
      <c r="N208" s="668">
        <f t="shared" ref="N208" si="75">N210</f>
        <v>0</v>
      </c>
      <c r="O208" s="546" t="e">
        <f t="shared" si="72"/>
        <v>#DIV/0!</v>
      </c>
      <c r="P208" s="540"/>
      <c r="Q208" s="488"/>
      <c r="R208" s="513"/>
      <c r="S208" s="253"/>
      <c r="T208" s="255"/>
      <c r="U208" s="253"/>
      <c r="V208" s="595">
        <f t="shared" si="64"/>
        <v>0</v>
      </c>
      <c r="W208" s="589">
        <f t="shared" si="65"/>
        <v>0</v>
      </c>
      <c r="AF208" s="598">
        <f t="shared" si="71"/>
        <v>0</v>
      </c>
    </row>
    <row r="209" spans="1:32" ht="31.2" hidden="1">
      <c r="A209" s="302" t="s">
        <v>11</v>
      </c>
      <c r="B209" s="303" t="s">
        <v>286</v>
      </c>
      <c r="C209" s="341"/>
      <c r="D209" s="341"/>
      <c r="E209" s="273">
        <v>0</v>
      </c>
      <c r="F209" s="221"/>
      <c r="G209" s="273"/>
      <c r="H209" s="221"/>
      <c r="I209" s="540">
        <v>0</v>
      </c>
      <c r="J209" s="540">
        <v>0</v>
      </c>
      <c r="K209" s="545"/>
      <c r="L209" s="534">
        <v>0</v>
      </c>
      <c r="M209" s="540">
        <v>0</v>
      </c>
      <c r="N209" s="664"/>
      <c r="O209" s="546" t="e">
        <f t="shared" si="72"/>
        <v>#DIV/0!</v>
      </c>
      <c r="P209" s="540">
        <v>0</v>
      </c>
      <c r="Q209" s="488"/>
      <c r="R209" s="513"/>
      <c r="T209" s="255"/>
      <c r="U209" s="255"/>
      <c r="V209" s="595">
        <f t="shared" si="64"/>
        <v>0</v>
      </c>
      <c r="W209" s="589">
        <f t="shared" si="65"/>
        <v>0</v>
      </c>
      <c r="AF209" s="598">
        <f t="shared" si="71"/>
        <v>0</v>
      </c>
    </row>
    <row r="210" spans="1:32" ht="31.2" hidden="1">
      <c r="A210" s="271" t="s">
        <v>35</v>
      </c>
      <c r="B210" s="297" t="s">
        <v>494</v>
      </c>
      <c r="C210" s="227" t="s">
        <v>287</v>
      </c>
      <c r="D210" s="402">
        <v>8005573</v>
      </c>
      <c r="E210" s="273"/>
      <c r="F210" s="221"/>
      <c r="G210" s="273">
        <v>273</v>
      </c>
      <c r="H210" s="221"/>
      <c r="I210" s="540">
        <v>0</v>
      </c>
      <c r="J210" s="540">
        <v>0</v>
      </c>
      <c r="K210" s="545">
        <v>0</v>
      </c>
      <c r="L210" s="534"/>
      <c r="M210" s="540">
        <v>0</v>
      </c>
      <c r="N210" s="664"/>
      <c r="O210" s="546" t="e">
        <f t="shared" si="72"/>
        <v>#DIV/0!</v>
      </c>
      <c r="P210" s="540"/>
      <c r="Q210" s="489"/>
      <c r="R210" s="513"/>
      <c r="T210" s="255">
        <v>1</v>
      </c>
      <c r="U210" s="255"/>
      <c r="V210" s="595">
        <f t="shared" si="64"/>
        <v>0</v>
      </c>
      <c r="W210" s="589">
        <f t="shared" si="65"/>
        <v>0</v>
      </c>
      <c r="AF210" s="598">
        <f t="shared" si="71"/>
        <v>0</v>
      </c>
    </row>
    <row r="211" spans="1:32" s="520" customFormat="1" ht="26.4" customHeight="1">
      <c r="A211" s="264" t="s">
        <v>23</v>
      </c>
      <c r="B211" s="398" t="s">
        <v>19</v>
      </c>
      <c r="C211" s="264"/>
      <c r="D211" s="264"/>
      <c r="E211" s="223">
        <f>SUM(E212:E214)</f>
        <v>19515.054</v>
      </c>
      <c r="F211" s="223">
        <f t="shared" ref="F211:P211" si="76">SUM(F212:F214)</f>
        <v>0</v>
      </c>
      <c r="G211" s="223">
        <f t="shared" si="76"/>
        <v>0</v>
      </c>
      <c r="H211" s="223">
        <f t="shared" si="76"/>
        <v>0</v>
      </c>
      <c r="I211" s="223">
        <f t="shared" si="76"/>
        <v>0</v>
      </c>
      <c r="J211" s="223">
        <f t="shared" si="76"/>
        <v>0</v>
      </c>
      <c r="K211" s="223">
        <f t="shared" si="76"/>
        <v>0</v>
      </c>
      <c r="L211" s="665">
        <f t="shared" si="76"/>
        <v>3276.59</v>
      </c>
      <c r="M211" s="223">
        <f t="shared" si="76"/>
        <v>2276.59</v>
      </c>
      <c r="N211" s="701">
        <f t="shared" si="76"/>
        <v>2276.59</v>
      </c>
      <c r="O211" s="544">
        <f t="shared" si="72"/>
        <v>69.48046597224554</v>
      </c>
      <c r="P211" s="701">
        <f t="shared" si="76"/>
        <v>3276.59</v>
      </c>
      <c r="Q211" s="488">
        <f t="shared" ref="Q211:Q221" si="77">P211/L211*100</f>
        <v>100</v>
      </c>
      <c r="R211" s="174"/>
      <c r="S211" s="349"/>
      <c r="T211" s="263"/>
      <c r="U211" s="263"/>
      <c r="V211" s="595">
        <f t="shared" si="64"/>
        <v>1000</v>
      </c>
      <c r="W211" s="589">
        <f t="shared" si="65"/>
        <v>0</v>
      </c>
      <c r="AF211" s="598">
        <f t="shared" si="71"/>
        <v>0</v>
      </c>
    </row>
    <row r="212" spans="1:32" s="23" customFormat="1" ht="40.799999999999997" customHeight="1">
      <c r="A212" s="271">
        <v>1</v>
      </c>
      <c r="B212" s="350" t="s">
        <v>538</v>
      </c>
      <c r="C212" s="439" t="s">
        <v>508</v>
      </c>
      <c r="D212" s="249">
        <v>7984221</v>
      </c>
      <c r="E212" s="273">
        <v>3215.0540000000001</v>
      </c>
      <c r="F212" s="273"/>
      <c r="G212" s="273"/>
      <c r="H212" s="273"/>
      <c r="I212" s="273"/>
      <c r="J212" s="273"/>
      <c r="K212" s="273"/>
      <c r="L212" s="273">
        <v>1000</v>
      </c>
      <c r="M212" s="554"/>
      <c r="N212" s="671"/>
      <c r="O212" s="273">
        <f t="shared" si="72"/>
        <v>0</v>
      </c>
      <c r="P212" s="540">
        <v>1000</v>
      </c>
      <c r="Q212" s="489">
        <f t="shared" si="77"/>
        <v>100</v>
      </c>
      <c r="R212" s="443"/>
      <c r="S212" s="255"/>
      <c r="T212" s="255"/>
      <c r="U212" s="255"/>
      <c r="V212" s="595">
        <f t="shared" si="64"/>
        <v>1000</v>
      </c>
      <c r="W212" s="589">
        <f t="shared" si="65"/>
        <v>0</v>
      </c>
      <c r="AF212" s="598">
        <f t="shared" si="71"/>
        <v>0</v>
      </c>
    </row>
    <row r="213" spans="1:32" s="23" customFormat="1" ht="46.8">
      <c r="A213" s="271">
        <v>2</v>
      </c>
      <c r="B213" s="517" t="s">
        <v>168</v>
      </c>
      <c r="C213" s="439" t="s">
        <v>532</v>
      </c>
      <c r="D213" s="518">
        <v>7934251</v>
      </c>
      <c r="E213" s="273">
        <v>16000</v>
      </c>
      <c r="F213" s="273"/>
      <c r="G213" s="273"/>
      <c r="H213" s="273"/>
      <c r="I213" s="273"/>
      <c r="J213" s="273"/>
      <c r="K213" s="273"/>
      <c r="L213" s="273">
        <v>2274</v>
      </c>
      <c r="M213" s="273">
        <f>N213</f>
        <v>2274</v>
      </c>
      <c r="N213" s="664">
        <f>L213</f>
        <v>2274</v>
      </c>
      <c r="O213" s="273">
        <f t="shared" si="72"/>
        <v>100</v>
      </c>
      <c r="P213" s="540">
        <v>2274</v>
      </c>
      <c r="Q213" s="489">
        <f t="shared" si="77"/>
        <v>100</v>
      </c>
      <c r="R213" s="443"/>
      <c r="S213" s="255"/>
      <c r="T213" s="255"/>
      <c r="U213" s="255"/>
      <c r="V213" s="595">
        <f t="shared" si="64"/>
        <v>0</v>
      </c>
      <c r="W213" s="589">
        <f t="shared" si="65"/>
        <v>0</v>
      </c>
      <c r="AF213" s="598">
        <f t="shared" si="71"/>
        <v>0</v>
      </c>
    </row>
    <row r="214" spans="1:32" s="23" customFormat="1" ht="36.6" customHeight="1">
      <c r="A214" s="271">
        <v>3</v>
      </c>
      <c r="B214" s="350" t="s">
        <v>158</v>
      </c>
      <c r="C214" s="439" t="s">
        <v>134</v>
      </c>
      <c r="D214" s="249">
        <v>7990618</v>
      </c>
      <c r="E214" s="273">
        <v>300</v>
      </c>
      <c r="F214" s="273"/>
      <c r="G214" s="273"/>
      <c r="H214" s="273"/>
      <c r="I214" s="273"/>
      <c r="J214" s="273"/>
      <c r="K214" s="273"/>
      <c r="L214" s="273">
        <v>2.59</v>
      </c>
      <c r="M214" s="273">
        <f>N214</f>
        <v>2.59</v>
      </c>
      <c r="N214" s="664">
        <v>2.59</v>
      </c>
      <c r="O214" s="273">
        <f t="shared" si="72"/>
        <v>100</v>
      </c>
      <c r="P214" s="540">
        <v>2.59</v>
      </c>
      <c r="Q214" s="489">
        <f t="shared" si="77"/>
        <v>100</v>
      </c>
      <c r="R214" s="443"/>
      <c r="S214" s="255"/>
      <c r="T214" s="255"/>
      <c r="U214" s="255"/>
      <c r="V214" s="595">
        <f t="shared" si="64"/>
        <v>0</v>
      </c>
      <c r="W214" s="589">
        <f t="shared" si="65"/>
        <v>0</v>
      </c>
      <c r="AF214" s="598">
        <f t="shared" si="71"/>
        <v>0</v>
      </c>
    </row>
    <row r="215" spans="1:32" s="196" customFormat="1" ht="25.8" customHeight="1">
      <c r="A215" s="1" t="s">
        <v>20</v>
      </c>
      <c r="B215" s="210" t="s">
        <v>7</v>
      </c>
      <c r="C215" s="199"/>
      <c r="D215" s="199"/>
      <c r="E215" s="223">
        <f>SUM(E216:E221)</f>
        <v>42769.232000000004</v>
      </c>
      <c r="F215" s="223">
        <f t="shared" ref="F215:P215" si="78">SUM(F216:F221)</f>
        <v>0</v>
      </c>
      <c r="G215" s="223">
        <f t="shared" si="78"/>
        <v>0</v>
      </c>
      <c r="H215" s="223">
        <f t="shared" si="78"/>
        <v>0</v>
      </c>
      <c r="I215" s="223">
        <f t="shared" si="78"/>
        <v>0</v>
      </c>
      <c r="J215" s="223">
        <f t="shared" si="78"/>
        <v>0</v>
      </c>
      <c r="K215" s="223">
        <f t="shared" si="78"/>
        <v>0</v>
      </c>
      <c r="L215" s="665">
        <f t="shared" si="78"/>
        <v>2692.1699999999992</v>
      </c>
      <c r="M215" s="223">
        <f t="shared" si="78"/>
        <v>1104.0050000000001</v>
      </c>
      <c r="N215" s="701">
        <f t="shared" si="78"/>
        <v>1104.0050000000001</v>
      </c>
      <c r="O215" s="259">
        <f t="shared" si="72"/>
        <v>41.007997266145914</v>
      </c>
      <c r="P215" s="701">
        <f t="shared" si="78"/>
        <v>1127.5129999999997</v>
      </c>
      <c r="Q215" s="488">
        <f t="shared" si="77"/>
        <v>41.881196209749014</v>
      </c>
      <c r="R215" s="174"/>
      <c r="S215" s="253"/>
      <c r="T215" s="588"/>
      <c r="U215" s="588"/>
      <c r="V215" s="595">
        <f t="shared" si="64"/>
        <v>1588.1649999999991</v>
      </c>
      <c r="W215" s="589">
        <f t="shared" si="65"/>
        <v>0</v>
      </c>
      <c r="AF215" s="598">
        <f t="shared" si="71"/>
        <v>1564.6569999999995</v>
      </c>
    </row>
    <row r="216" spans="1:32" ht="24" customHeight="1">
      <c r="A216" s="180">
        <v>1</v>
      </c>
      <c r="B216" s="350" t="s">
        <v>509</v>
      </c>
      <c r="C216" s="180" t="s">
        <v>175</v>
      </c>
      <c r="D216" s="351">
        <v>7832195</v>
      </c>
      <c r="E216" s="273"/>
      <c r="F216" s="273"/>
      <c r="G216" s="273"/>
      <c r="H216" s="273"/>
      <c r="I216" s="273"/>
      <c r="J216" s="273"/>
      <c r="K216" s="273"/>
      <c r="L216" s="273">
        <v>0.61299999999999999</v>
      </c>
      <c r="M216" s="273">
        <f>L216</f>
        <v>0.61299999999999999</v>
      </c>
      <c r="N216" s="664">
        <f>M216</f>
        <v>0.61299999999999999</v>
      </c>
      <c r="O216" s="273">
        <f t="shared" si="72"/>
        <v>100</v>
      </c>
      <c r="P216" s="540">
        <v>0.61299999999999999</v>
      </c>
      <c r="Q216" s="489">
        <f t="shared" si="77"/>
        <v>100</v>
      </c>
      <c r="R216" s="443"/>
      <c r="T216" s="193"/>
      <c r="U216" s="193"/>
      <c r="V216" s="595">
        <f t="shared" si="64"/>
        <v>0</v>
      </c>
      <c r="W216" s="589">
        <f t="shared" si="65"/>
        <v>0</v>
      </c>
      <c r="AF216" s="598">
        <f t="shared" si="71"/>
        <v>0</v>
      </c>
    </row>
    <row r="217" spans="1:32" ht="46.8" customHeight="1">
      <c r="A217" s="180">
        <v>2</v>
      </c>
      <c r="B217" s="440" t="s">
        <v>45</v>
      </c>
      <c r="C217" s="439" t="s">
        <v>532</v>
      </c>
      <c r="D217" s="190">
        <v>7910696</v>
      </c>
      <c r="E217" s="273">
        <v>1935.7270000000001</v>
      </c>
      <c r="F217" s="273"/>
      <c r="G217" s="273"/>
      <c r="H217" s="273"/>
      <c r="I217" s="273"/>
      <c r="J217" s="273"/>
      <c r="K217" s="273"/>
      <c r="L217" s="273">
        <v>23.507999999999811</v>
      </c>
      <c r="M217" s="273"/>
      <c r="N217" s="664"/>
      <c r="O217" s="273">
        <f t="shared" si="72"/>
        <v>0</v>
      </c>
      <c r="P217" s="540">
        <v>23.507999999999811</v>
      </c>
      <c r="Q217" s="489">
        <f t="shared" si="77"/>
        <v>100</v>
      </c>
      <c r="R217" s="443"/>
      <c r="T217" s="193"/>
      <c r="U217" s="193"/>
      <c r="V217" s="595">
        <f t="shared" si="64"/>
        <v>23.507999999999811</v>
      </c>
      <c r="W217" s="589">
        <f t="shared" si="65"/>
        <v>0</v>
      </c>
      <c r="AF217" s="598">
        <f t="shared" si="71"/>
        <v>0</v>
      </c>
    </row>
    <row r="218" spans="1:32" ht="46.8">
      <c r="A218" s="180">
        <v>3</v>
      </c>
      <c r="B218" s="441" t="s">
        <v>72</v>
      </c>
      <c r="C218" s="439" t="s">
        <v>532</v>
      </c>
      <c r="D218" s="442">
        <v>7888659</v>
      </c>
      <c r="E218" s="273">
        <v>1833.5050000000001</v>
      </c>
      <c r="F218" s="273"/>
      <c r="G218" s="273"/>
      <c r="H218" s="273"/>
      <c r="I218" s="273"/>
      <c r="J218" s="273"/>
      <c r="K218" s="273"/>
      <c r="L218" s="273">
        <v>759.51400000000001</v>
      </c>
      <c r="M218" s="273">
        <v>759.51400000000001</v>
      </c>
      <c r="N218" s="664">
        <v>759.51400000000001</v>
      </c>
      <c r="O218" s="273">
        <f t="shared" si="72"/>
        <v>100</v>
      </c>
      <c r="P218" s="540">
        <v>759.51400000000001</v>
      </c>
      <c r="Q218" s="489">
        <f t="shared" si="77"/>
        <v>100</v>
      </c>
      <c r="R218" s="443"/>
      <c r="T218" s="193"/>
      <c r="U218" s="193"/>
      <c r="V218" s="595">
        <f t="shared" si="64"/>
        <v>0</v>
      </c>
      <c r="W218" s="589">
        <f t="shared" si="65"/>
        <v>0</v>
      </c>
      <c r="AF218" s="598">
        <f t="shared" si="71"/>
        <v>0</v>
      </c>
    </row>
    <row r="219" spans="1:32" ht="46.8">
      <c r="A219" s="180">
        <v>4</v>
      </c>
      <c r="B219" s="195" t="s">
        <v>70</v>
      </c>
      <c r="C219" s="439" t="s">
        <v>532</v>
      </c>
      <c r="D219" s="190">
        <v>7927383</v>
      </c>
      <c r="E219" s="273">
        <v>15000</v>
      </c>
      <c r="F219" s="273"/>
      <c r="G219" s="273"/>
      <c r="H219" s="273"/>
      <c r="I219" s="273"/>
      <c r="J219" s="273"/>
      <c r="K219" s="273"/>
      <c r="L219" s="273">
        <v>343.87799999999999</v>
      </c>
      <c r="M219" s="273">
        <f>N219</f>
        <v>343.87799999999999</v>
      </c>
      <c r="N219" s="664">
        <v>343.87799999999999</v>
      </c>
      <c r="O219" s="273">
        <f t="shared" si="72"/>
        <v>100</v>
      </c>
      <c r="P219" s="540">
        <v>343.87799999999999</v>
      </c>
      <c r="Q219" s="489">
        <f t="shared" si="77"/>
        <v>100</v>
      </c>
      <c r="R219" s="443"/>
      <c r="T219" s="193"/>
      <c r="U219" s="193"/>
      <c r="V219" s="595">
        <f t="shared" si="64"/>
        <v>0</v>
      </c>
      <c r="W219" s="589">
        <f t="shared" si="65"/>
        <v>0</v>
      </c>
      <c r="AF219" s="598">
        <f t="shared" si="71"/>
        <v>0</v>
      </c>
    </row>
    <row r="220" spans="1:32" ht="51" customHeight="1">
      <c r="A220" s="180">
        <v>5</v>
      </c>
      <c r="B220" s="195" t="s">
        <v>83</v>
      </c>
      <c r="C220" s="439" t="s">
        <v>532</v>
      </c>
      <c r="D220" s="227">
        <v>7950713</v>
      </c>
      <c r="E220" s="273">
        <v>15000</v>
      </c>
      <c r="F220" s="273"/>
      <c r="G220" s="273"/>
      <c r="H220" s="273"/>
      <c r="I220" s="273"/>
      <c r="J220" s="273"/>
      <c r="K220" s="273"/>
      <c r="L220" s="273">
        <v>1041.069</v>
      </c>
      <c r="M220" s="273"/>
      <c r="N220" s="664"/>
      <c r="O220" s="273">
        <f t="shared" si="72"/>
        <v>0</v>
      </c>
      <c r="P220" s="540"/>
      <c r="Q220" s="489">
        <f t="shared" si="77"/>
        <v>0</v>
      </c>
      <c r="R220" s="443"/>
      <c r="T220" s="193"/>
      <c r="U220" s="193"/>
      <c r="V220" s="595">
        <f t="shared" si="64"/>
        <v>1041.069</v>
      </c>
      <c r="W220" s="589">
        <f t="shared" si="65"/>
        <v>0</v>
      </c>
      <c r="AF220" s="598">
        <f t="shared" si="71"/>
        <v>1041.069</v>
      </c>
    </row>
    <row r="221" spans="1:32" ht="51" customHeight="1">
      <c r="A221" s="180">
        <v>6</v>
      </c>
      <c r="B221" s="297" t="s">
        <v>84</v>
      </c>
      <c r="C221" s="439" t="s">
        <v>532</v>
      </c>
      <c r="D221" s="227">
        <v>7949786</v>
      </c>
      <c r="E221" s="273">
        <v>9000</v>
      </c>
      <c r="F221" s="273"/>
      <c r="G221" s="273"/>
      <c r="H221" s="273"/>
      <c r="I221" s="273"/>
      <c r="J221" s="273"/>
      <c r="K221" s="273"/>
      <c r="L221" s="273">
        <v>523.58799999999997</v>
      </c>
      <c r="M221" s="273"/>
      <c r="N221" s="664"/>
      <c r="O221" s="273">
        <f t="shared" si="72"/>
        <v>0</v>
      </c>
      <c r="P221" s="540"/>
      <c r="Q221" s="489">
        <f t="shared" si="77"/>
        <v>0</v>
      </c>
      <c r="R221" s="443"/>
      <c r="T221" s="193"/>
      <c r="U221" s="193"/>
      <c r="V221" s="595">
        <f t="shared" si="64"/>
        <v>523.58799999999997</v>
      </c>
      <c r="W221" s="589">
        <f t="shared" si="65"/>
        <v>0</v>
      </c>
      <c r="AF221" s="598">
        <f t="shared" si="71"/>
        <v>523.58799999999997</v>
      </c>
    </row>
    <row r="222" spans="1:32">
      <c r="S222" s="586"/>
      <c r="AF222" s="598">
        <f t="shared" si="71"/>
        <v>0</v>
      </c>
    </row>
    <row r="223" spans="1:32">
      <c r="S223" s="587"/>
      <c r="AF223" s="598">
        <f t="shared" si="71"/>
        <v>0</v>
      </c>
    </row>
    <row r="224" spans="1:32">
      <c r="S224" s="587"/>
      <c r="AF224" s="598">
        <f t="shared" si="71"/>
        <v>0</v>
      </c>
    </row>
    <row r="225" spans="19:32">
      <c r="S225" s="587"/>
      <c r="AF225" s="598">
        <f t="shared" si="71"/>
        <v>0</v>
      </c>
    </row>
    <row r="226" spans="19:32">
      <c r="S226" s="587"/>
      <c r="AF226" s="598">
        <f t="shared" si="71"/>
        <v>0</v>
      </c>
    </row>
    <row r="227" spans="19:32">
      <c r="S227" s="587"/>
      <c r="AF227" s="598">
        <f t="shared" si="71"/>
        <v>0</v>
      </c>
    </row>
    <row r="228" spans="19:32">
      <c r="S228" s="587"/>
      <c r="AF228" s="598">
        <f t="shared" si="71"/>
        <v>0</v>
      </c>
    </row>
    <row r="229" spans="19:32">
      <c r="S229" s="587"/>
      <c r="AF229" s="598">
        <f t="shared" si="71"/>
        <v>0</v>
      </c>
    </row>
    <row r="230" spans="19:32">
      <c r="S230" s="587"/>
      <c r="AF230" s="598">
        <f t="shared" si="71"/>
        <v>0</v>
      </c>
    </row>
    <row r="231" spans="19:32">
      <c r="S231" s="587"/>
      <c r="AF231" s="598">
        <f t="shared" si="71"/>
        <v>0</v>
      </c>
    </row>
    <row r="232" spans="19:32">
      <c r="S232" s="587"/>
      <c r="AF232" s="598">
        <f t="shared" si="71"/>
        <v>0</v>
      </c>
    </row>
    <row r="233" spans="19:32">
      <c r="S233" s="587"/>
      <c r="AF233" s="598">
        <f t="shared" si="71"/>
        <v>0</v>
      </c>
    </row>
    <row r="234" spans="19:32">
      <c r="S234" s="587"/>
      <c r="AF234" s="598">
        <f t="shared" si="71"/>
        <v>0</v>
      </c>
    </row>
    <row r="235" spans="19:32">
      <c r="S235" s="587"/>
      <c r="AF235" s="598">
        <f t="shared" si="71"/>
        <v>0</v>
      </c>
    </row>
    <row r="236" spans="19:32">
      <c r="S236" s="587"/>
      <c r="AF236" s="598">
        <f t="shared" si="71"/>
        <v>0</v>
      </c>
    </row>
    <row r="237" spans="19:32">
      <c r="S237" s="587"/>
      <c r="AF237" s="598">
        <f t="shared" si="71"/>
        <v>0</v>
      </c>
    </row>
    <row r="238" spans="19:32">
      <c r="S238" s="587"/>
      <c r="AF238" s="598">
        <f t="shared" si="71"/>
        <v>0</v>
      </c>
    </row>
    <row r="239" spans="19:32">
      <c r="S239" s="587"/>
      <c r="AF239" s="598">
        <f t="shared" si="71"/>
        <v>0</v>
      </c>
    </row>
    <row r="240" spans="19:32">
      <c r="S240" s="587"/>
      <c r="AF240" s="598">
        <f t="shared" si="71"/>
        <v>0</v>
      </c>
    </row>
    <row r="241" spans="19:32">
      <c r="S241" s="587"/>
      <c r="AF241" s="598">
        <f t="shared" si="71"/>
        <v>0</v>
      </c>
    </row>
    <row r="242" spans="19:32">
      <c r="S242" s="587"/>
      <c r="AF242" s="598">
        <f t="shared" si="71"/>
        <v>0</v>
      </c>
    </row>
    <row r="243" spans="19:32">
      <c r="S243" s="587"/>
      <c r="AF243" s="598">
        <f t="shared" si="71"/>
        <v>0</v>
      </c>
    </row>
    <row r="244" spans="19:32">
      <c r="S244" s="587"/>
      <c r="AF244" s="598">
        <f t="shared" si="71"/>
        <v>0</v>
      </c>
    </row>
    <row r="245" spans="19:32">
      <c r="S245" s="587"/>
      <c r="AF245" s="598">
        <f t="shared" si="71"/>
        <v>0</v>
      </c>
    </row>
    <row r="246" spans="19:32">
      <c r="S246" s="587"/>
      <c r="AF246" s="598">
        <f t="shared" si="71"/>
        <v>0</v>
      </c>
    </row>
    <row r="247" spans="19:32">
      <c r="S247" s="587"/>
      <c r="AF247" s="598">
        <f t="shared" si="71"/>
        <v>0</v>
      </c>
    </row>
    <row r="248" spans="19:32">
      <c r="S248" s="587"/>
      <c r="AF248" s="598">
        <f t="shared" si="71"/>
        <v>0</v>
      </c>
    </row>
    <row r="249" spans="19:32">
      <c r="S249" s="587"/>
      <c r="AF249" s="598">
        <f t="shared" si="71"/>
        <v>0</v>
      </c>
    </row>
    <row r="250" spans="19:32">
      <c r="S250" s="587"/>
      <c r="AF250" s="598">
        <f t="shared" si="71"/>
        <v>0</v>
      </c>
    </row>
    <row r="251" spans="19:32">
      <c r="S251" s="587"/>
      <c r="AF251" s="598">
        <f t="shared" si="71"/>
        <v>0</v>
      </c>
    </row>
    <row r="252" spans="19:32">
      <c r="S252" s="587"/>
      <c r="AF252" s="598">
        <f t="shared" si="71"/>
        <v>0</v>
      </c>
    </row>
    <row r="253" spans="19:32">
      <c r="S253" s="587"/>
      <c r="AF253" s="598">
        <f t="shared" si="71"/>
        <v>0</v>
      </c>
    </row>
    <row r="254" spans="19:32">
      <c r="S254" s="587"/>
      <c r="AF254" s="598">
        <f t="shared" si="71"/>
        <v>0</v>
      </c>
    </row>
    <row r="255" spans="19:32">
      <c r="S255" s="587"/>
      <c r="AF255" s="598">
        <f t="shared" si="71"/>
        <v>0</v>
      </c>
    </row>
    <row r="256" spans="19:32">
      <c r="S256" s="587"/>
      <c r="AF256" s="598">
        <f t="shared" si="71"/>
        <v>0</v>
      </c>
    </row>
    <row r="257" spans="19:32">
      <c r="S257" s="587"/>
      <c r="AF257" s="598">
        <f t="shared" si="71"/>
        <v>0</v>
      </c>
    </row>
    <row r="258" spans="19:32">
      <c r="S258" s="587"/>
      <c r="AF258" s="598">
        <f t="shared" si="71"/>
        <v>0</v>
      </c>
    </row>
    <row r="259" spans="19:32">
      <c r="S259" s="587"/>
      <c r="AF259" s="598">
        <f t="shared" si="71"/>
        <v>0</v>
      </c>
    </row>
    <row r="260" spans="19:32">
      <c r="S260" s="587"/>
      <c r="AF260" s="598">
        <f t="shared" si="71"/>
        <v>0</v>
      </c>
    </row>
    <row r="261" spans="19:32">
      <c r="S261" s="587"/>
      <c r="AF261" s="598">
        <f t="shared" si="71"/>
        <v>0</v>
      </c>
    </row>
    <row r="262" spans="19:32">
      <c r="S262" s="587"/>
      <c r="AF262" s="598">
        <f t="shared" si="71"/>
        <v>0</v>
      </c>
    </row>
    <row r="263" spans="19:32">
      <c r="S263" s="587"/>
      <c r="AF263" s="598">
        <f t="shared" si="71"/>
        <v>0</v>
      </c>
    </row>
    <row r="264" spans="19:32">
      <c r="S264" s="587"/>
      <c r="AF264" s="598">
        <f t="shared" si="71"/>
        <v>0</v>
      </c>
    </row>
    <row r="265" spans="19:32">
      <c r="S265" s="587"/>
      <c r="AF265" s="598">
        <f t="shared" si="71"/>
        <v>0</v>
      </c>
    </row>
    <row r="266" spans="19:32">
      <c r="S266" s="587"/>
      <c r="AF266" s="598">
        <f t="shared" si="71"/>
        <v>0</v>
      </c>
    </row>
    <row r="267" spans="19:32">
      <c r="S267" s="587"/>
      <c r="AF267" s="598">
        <f t="shared" ref="AF267:AF296" si="79">L267-P267</f>
        <v>0</v>
      </c>
    </row>
    <row r="268" spans="19:32">
      <c r="S268" s="587"/>
      <c r="AF268" s="598">
        <f t="shared" si="79"/>
        <v>0</v>
      </c>
    </row>
    <row r="269" spans="19:32">
      <c r="S269" s="587"/>
      <c r="AF269" s="598">
        <f t="shared" si="79"/>
        <v>0</v>
      </c>
    </row>
    <row r="270" spans="19:32">
      <c r="S270" s="587"/>
      <c r="AF270" s="598">
        <f t="shared" si="79"/>
        <v>0</v>
      </c>
    </row>
    <row r="271" spans="19:32">
      <c r="S271" s="587"/>
      <c r="AF271" s="598">
        <f t="shared" si="79"/>
        <v>0</v>
      </c>
    </row>
    <row r="272" spans="19:32">
      <c r="S272" s="587"/>
      <c r="AF272" s="598">
        <f t="shared" si="79"/>
        <v>0</v>
      </c>
    </row>
    <row r="273" spans="19:32">
      <c r="S273" s="587"/>
      <c r="AF273" s="598">
        <f t="shared" si="79"/>
        <v>0</v>
      </c>
    </row>
    <row r="274" spans="19:32">
      <c r="S274" s="587"/>
      <c r="AF274" s="598">
        <f t="shared" si="79"/>
        <v>0</v>
      </c>
    </row>
    <row r="275" spans="19:32">
      <c r="S275" s="587"/>
      <c r="AF275" s="598">
        <f t="shared" si="79"/>
        <v>0</v>
      </c>
    </row>
    <row r="276" spans="19:32">
      <c r="S276" s="587"/>
      <c r="AF276" s="598">
        <f t="shared" si="79"/>
        <v>0</v>
      </c>
    </row>
    <row r="277" spans="19:32">
      <c r="S277" s="587"/>
      <c r="AF277" s="598">
        <f t="shared" si="79"/>
        <v>0</v>
      </c>
    </row>
    <row r="278" spans="19:32">
      <c r="S278" s="587"/>
      <c r="AF278" s="598">
        <f t="shared" si="79"/>
        <v>0</v>
      </c>
    </row>
    <row r="279" spans="19:32">
      <c r="S279" s="587"/>
      <c r="AF279" s="598">
        <f t="shared" si="79"/>
        <v>0</v>
      </c>
    </row>
    <row r="280" spans="19:32">
      <c r="S280" s="587"/>
      <c r="AF280" s="598">
        <f t="shared" si="79"/>
        <v>0</v>
      </c>
    </row>
    <row r="281" spans="19:32">
      <c r="S281" s="587"/>
      <c r="AF281" s="598">
        <f t="shared" si="79"/>
        <v>0</v>
      </c>
    </row>
    <row r="282" spans="19:32">
      <c r="S282" s="587"/>
      <c r="AF282" s="598">
        <f t="shared" si="79"/>
        <v>0</v>
      </c>
    </row>
    <row r="283" spans="19:32">
      <c r="S283" s="587"/>
      <c r="AF283" s="598">
        <f t="shared" si="79"/>
        <v>0</v>
      </c>
    </row>
    <row r="284" spans="19:32">
      <c r="S284" s="587"/>
      <c r="AF284" s="598">
        <f t="shared" si="79"/>
        <v>0</v>
      </c>
    </row>
    <row r="285" spans="19:32">
      <c r="S285" s="587"/>
      <c r="AF285" s="598">
        <f t="shared" si="79"/>
        <v>0</v>
      </c>
    </row>
    <row r="286" spans="19:32">
      <c r="S286" s="587"/>
      <c r="AF286" s="598">
        <f t="shared" si="79"/>
        <v>0</v>
      </c>
    </row>
    <row r="287" spans="19:32">
      <c r="S287" s="587"/>
      <c r="AF287" s="598">
        <f t="shared" si="79"/>
        <v>0</v>
      </c>
    </row>
    <row r="288" spans="19:32">
      <c r="S288" s="587"/>
      <c r="AF288" s="598">
        <f t="shared" si="79"/>
        <v>0</v>
      </c>
    </row>
    <row r="289" spans="19:32">
      <c r="S289" s="587"/>
      <c r="AF289" s="598">
        <f t="shared" si="79"/>
        <v>0</v>
      </c>
    </row>
    <row r="290" spans="19:32">
      <c r="S290" s="587"/>
      <c r="AF290" s="598">
        <f t="shared" si="79"/>
        <v>0</v>
      </c>
    </row>
    <row r="291" spans="19:32">
      <c r="S291" s="587"/>
      <c r="AF291" s="598">
        <f t="shared" si="79"/>
        <v>0</v>
      </c>
    </row>
    <row r="292" spans="19:32">
      <c r="S292" s="587"/>
      <c r="AF292" s="598">
        <f t="shared" si="79"/>
        <v>0</v>
      </c>
    </row>
    <row r="293" spans="19:32">
      <c r="S293" s="587"/>
      <c r="AF293" s="598">
        <f t="shared" si="79"/>
        <v>0</v>
      </c>
    </row>
    <row r="294" spans="19:32">
      <c r="S294" s="587"/>
      <c r="AF294" s="598">
        <f t="shared" si="79"/>
        <v>0</v>
      </c>
    </row>
    <row r="295" spans="19:32">
      <c r="S295" s="587"/>
      <c r="AF295" s="598">
        <f t="shared" si="79"/>
        <v>0</v>
      </c>
    </row>
    <row r="296" spans="19:32">
      <c r="S296" s="587"/>
      <c r="AF296" s="598">
        <f t="shared" si="79"/>
        <v>0</v>
      </c>
    </row>
    <row r="297" spans="19:32">
      <c r="S297" s="587"/>
    </row>
    <row r="298" spans="19:32">
      <c r="S298" s="587"/>
    </row>
    <row r="299" spans="19:32">
      <c r="S299" s="587"/>
    </row>
    <row r="300" spans="19:32">
      <c r="S300" s="587"/>
    </row>
    <row r="301" spans="19:32">
      <c r="S301" s="587"/>
    </row>
    <row r="302" spans="19:32">
      <c r="S302" s="587"/>
    </row>
    <row r="303" spans="19:32">
      <c r="S303" s="587"/>
    </row>
    <row r="304" spans="19:32">
      <c r="S304" s="587"/>
    </row>
    <row r="305" spans="19:19">
      <c r="S305" s="587"/>
    </row>
    <row r="306" spans="19:19">
      <c r="S306" s="587"/>
    </row>
    <row r="307" spans="19:19">
      <c r="S307" s="587"/>
    </row>
    <row r="308" spans="19:19">
      <c r="S308" s="587"/>
    </row>
    <row r="309" spans="19:19">
      <c r="S309" s="587"/>
    </row>
    <row r="310" spans="19:19">
      <c r="S310" s="587"/>
    </row>
    <row r="311" spans="19:19">
      <c r="S311" s="587"/>
    </row>
    <row r="312" spans="19:19">
      <c r="S312" s="587"/>
    </row>
    <row r="313" spans="19:19">
      <c r="S313" s="587"/>
    </row>
    <row r="314" spans="19:19">
      <c r="S314" s="587"/>
    </row>
    <row r="315" spans="19:19">
      <c r="S315" s="587"/>
    </row>
    <row r="316" spans="19:19">
      <c r="S316" s="587"/>
    </row>
    <row r="317" spans="19:19">
      <c r="S317" s="587"/>
    </row>
    <row r="318" spans="19:19">
      <c r="S318" s="587"/>
    </row>
    <row r="319" spans="19:19">
      <c r="S319" s="587"/>
    </row>
    <row r="320" spans="19:19">
      <c r="S320" s="587"/>
    </row>
    <row r="321" spans="19:19">
      <c r="S321" s="587"/>
    </row>
    <row r="322" spans="19:19">
      <c r="S322" s="587"/>
    </row>
    <row r="323" spans="19:19">
      <c r="S323" s="587"/>
    </row>
    <row r="324" spans="19:19">
      <c r="S324" s="587"/>
    </row>
    <row r="325" spans="19:19">
      <c r="S325" s="587"/>
    </row>
    <row r="326" spans="19:19">
      <c r="S326" s="587"/>
    </row>
    <row r="327" spans="19:19">
      <c r="S327" s="587"/>
    </row>
  </sheetData>
  <autoFilter ref="A8:U221" xr:uid="{4EA93CBC-61B2-4002-BBF0-6888B190E56B}"/>
  <mergeCells count="29">
    <mergeCell ref="U5:U7"/>
    <mergeCell ref="F5:G5"/>
    <mergeCell ref="M5:M7"/>
    <mergeCell ref="P5:P7"/>
    <mergeCell ref="Q5:Q7"/>
    <mergeCell ref="I5:I7"/>
    <mergeCell ref="J5:J7"/>
    <mergeCell ref="K5:K7"/>
    <mergeCell ref="E5:E7"/>
    <mergeCell ref="L5:L7"/>
    <mergeCell ref="H5:H7"/>
    <mergeCell ref="S5:S7"/>
    <mergeCell ref="T5:T7"/>
    <mergeCell ref="S109:S113"/>
    <mergeCell ref="S115:S116"/>
    <mergeCell ref="V5:V7"/>
    <mergeCell ref="A1:R1"/>
    <mergeCell ref="A2:R2"/>
    <mergeCell ref="A3:R3"/>
    <mergeCell ref="N4:R4"/>
    <mergeCell ref="F6:F7"/>
    <mergeCell ref="G6:G7"/>
    <mergeCell ref="N5:N7"/>
    <mergeCell ref="O5:O7"/>
    <mergeCell ref="R5:R7"/>
    <mergeCell ref="A5:A7"/>
    <mergeCell ref="B5:B7"/>
    <mergeCell ref="C5:C7"/>
    <mergeCell ref="D5:D7"/>
  </mergeCells>
  <printOptions horizontalCentered="1"/>
  <pageMargins left="0.39370078740157483" right="0.23622047244094491" top="0.39370078740157483" bottom="0.39370078740157483" header="0.31496062992125984" footer="0.31496062992125984"/>
  <pageSetup paperSize="9" scale="60"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D4EA-EEAF-4A64-800F-7CC693507A96}">
  <sheetPr>
    <tabColor rgb="FFFF0000"/>
  </sheetPr>
  <dimension ref="A1:R15"/>
  <sheetViews>
    <sheetView zoomScale="70" zoomScaleNormal="70" workbookViewId="0">
      <selection activeCell="G17" sqref="G17"/>
    </sheetView>
  </sheetViews>
  <sheetFormatPr defaultColWidth="9.109375" defaultRowHeight="16.8"/>
  <cols>
    <col min="1" max="1" width="6.6640625" style="352" customWidth="1"/>
    <col min="2" max="2" width="45.5546875" style="353" customWidth="1"/>
    <col min="3" max="3" width="23.44140625" style="353" hidden="1" customWidth="1"/>
    <col min="4" max="4" width="22.33203125" style="353" customWidth="1"/>
    <col min="5" max="5" width="13.21875" style="353" customWidth="1"/>
    <col min="6" max="6" width="13.109375" style="367" customWidth="1"/>
    <col min="7" max="7" width="13.5546875" style="367" customWidth="1"/>
    <col min="8" max="9" width="15.109375" style="367" customWidth="1"/>
    <col min="10" max="10" width="15.109375" style="354" customWidth="1"/>
    <col min="11" max="12" width="15.109375" style="354" hidden="1" customWidth="1"/>
    <col min="13" max="13" width="12.33203125" style="354" customWidth="1"/>
    <col min="14" max="14" width="13.5546875" style="354" customWidth="1"/>
    <col min="15" max="15" width="14.44140625" style="354" customWidth="1"/>
    <col min="16" max="16" width="11.109375" style="353" hidden="1" customWidth="1"/>
    <col min="17" max="17" width="11.109375" style="353" bestFit="1" customWidth="1"/>
    <col min="18" max="18" width="11.109375" style="353" hidden="1" customWidth="1"/>
    <col min="19" max="16384" width="9.109375" style="353"/>
  </cols>
  <sheetData>
    <row r="1" spans="1:18" ht="18.600000000000001" customHeight="1">
      <c r="O1" s="622" t="s">
        <v>596</v>
      </c>
    </row>
    <row r="2" spans="1:18" ht="27.6" customHeight="1">
      <c r="A2" s="859" t="s">
        <v>528</v>
      </c>
      <c r="B2" s="859"/>
      <c r="C2" s="859"/>
      <c r="D2" s="859"/>
      <c r="E2" s="859"/>
      <c r="F2" s="859"/>
      <c r="G2" s="859"/>
      <c r="H2" s="859"/>
      <c r="I2" s="859"/>
      <c r="J2" s="859"/>
      <c r="K2" s="859"/>
      <c r="L2" s="859"/>
      <c r="M2" s="859"/>
      <c r="N2" s="859"/>
      <c r="O2" s="859"/>
    </row>
    <row r="3" spans="1:18" ht="24.6" customHeight="1">
      <c r="A3" s="860" t="s">
        <v>597</v>
      </c>
      <c r="B3" s="860"/>
      <c r="C3" s="860"/>
      <c r="D3" s="860"/>
      <c r="E3" s="860"/>
      <c r="F3" s="860"/>
      <c r="G3" s="860"/>
      <c r="H3" s="860"/>
      <c r="I3" s="860"/>
      <c r="J3" s="860"/>
      <c r="K3" s="860"/>
      <c r="L3" s="860"/>
      <c r="M3" s="860"/>
      <c r="N3" s="860"/>
      <c r="O3" s="860"/>
    </row>
    <row r="4" spans="1:18" ht="31.2" hidden="1" customHeight="1">
      <c r="A4" s="861"/>
      <c r="B4" s="861"/>
      <c r="C4" s="861"/>
      <c r="D4" s="861"/>
      <c r="E4" s="861"/>
      <c r="F4" s="861"/>
      <c r="G4" s="861"/>
      <c r="H4" s="861"/>
      <c r="I4" s="861"/>
      <c r="J4" s="861"/>
      <c r="K4" s="861"/>
      <c r="L4" s="861"/>
      <c r="M4" s="861"/>
      <c r="N4" s="861"/>
      <c r="O4" s="861"/>
    </row>
    <row r="5" spans="1:18" ht="24.6" customHeight="1">
      <c r="A5" s="357"/>
      <c r="B5" s="357"/>
      <c r="C5" s="357"/>
      <c r="D5" s="357"/>
      <c r="E5" s="357"/>
      <c r="F5" s="862" t="s">
        <v>6</v>
      </c>
      <c r="G5" s="862"/>
      <c r="H5" s="862"/>
      <c r="I5" s="862"/>
      <c r="J5" s="862"/>
      <c r="K5" s="862"/>
      <c r="L5" s="862"/>
      <c r="M5" s="862"/>
      <c r="N5" s="862"/>
      <c r="O5" s="862"/>
    </row>
    <row r="6" spans="1:18" s="355" customFormat="1" ht="25.2" customHeight="1">
      <c r="A6" s="863" t="s">
        <v>510</v>
      </c>
      <c r="B6" s="863" t="s">
        <v>511</v>
      </c>
      <c r="C6" s="864" t="s">
        <v>512</v>
      </c>
      <c r="D6" s="864" t="s">
        <v>128</v>
      </c>
      <c r="E6" s="864" t="s">
        <v>142</v>
      </c>
      <c r="F6" s="866" t="s">
        <v>513</v>
      </c>
      <c r="G6" s="870" t="s">
        <v>529</v>
      </c>
      <c r="H6" s="868" t="s">
        <v>631</v>
      </c>
      <c r="I6" s="868" t="s">
        <v>632</v>
      </c>
      <c r="J6" s="814" t="s">
        <v>633</v>
      </c>
      <c r="K6" s="814" t="s">
        <v>562</v>
      </c>
      <c r="L6" s="814" t="s">
        <v>563</v>
      </c>
      <c r="M6" s="814" t="s">
        <v>551</v>
      </c>
      <c r="N6" s="814" t="s">
        <v>553</v>
      </c>
      <c r="O6" s="867" t="s">
        <v>2</v>
      </c>
    </row>
    <row r="7" spans="1:18" s="355" customFormat="1" ht="42.6" customHeight="1">
      <c r="A7" s="863"/>
      <c r="B7" s="863"/>
      <c r="C7" s="865"/>
      <c r="D7" s="865"/>
      <c r="E7" s="865"/>
      <c r="F7" s="866"/>
      <c r="G7" s="871"/>
      <c r="H7" s="869"/>
      <c r="I7" s="869"/>
      <c r="J7" s="816"/>
      <c r="K7" s="816"/>
      <c r="L7" s="816"/>
      <c r="M7" s="816"/>
      <c r="N7" s="816"/>
      <c r="O7" s="867"/>
    </row>
    <row r="8" spans="1:18" s="355" customFormat="1" ht="27.6" customHeight="1">
      <c r="A8" s="358"/>
      <c r="B8" s="358" t="s">
        <v>29</v>
      </c>
      <c r="C8" s="358"/>
      <c r="D8" s="358"/>
      <c r="E8" s="368"/>
      <c r="F8" s="368">
        <f>SUM(F9:F15)</f>
        <v>6600</v>
      </c>
      <c r="G8" s="368">
        <f t="shared" ref="G8:I8" si="0">SUM(G9:G15)</f>
        <v>6000</v>
      </c>
      <c r="H8" s="368">
        <f t="shared" si="0"/>
        <v>5415.2180000000008</v>
      </c>
      <c r="I8" s="368">
        <f t="shared" si="0"/>
        <v>5415.2180000000008</v>
      </c>
      <c r="J8" s="452">
        <f>I8/G8*100</f>
        <v>90.253633333333354</v>
      </c>
      <c r="K8" s="452">
        <f>SUM(K9:K15)</f>
        <v>5230.18</v>
      </c>
      <c r="L8" s="452">
        <f t="shared" ref="L8:L15" si="1">K8/G8*100</f>
        <v>87.169666666666672</v>
      </c>
      <c r="M8" s="452">
        <f t="shared" ref="M8" si="2">SUM(M9:M15)</f>
        <v>6000</v>
      </c>
      <c r="N8" s="452">
        <f>M8/G8*100</f>
        <v>100</v>
      </c>
      <c r="O8" s="359"/>
      <c r="P8" s="530">
        <f>K8-I8</f>
        <v>-185.03800000000047</v>
      </c>
      <c r="R8" s="530">
        <f>K8-I8</f>
        <v>-185.03800000000047</v>
      </c>
    </row>
    <row r="9" spans="1:18" s="356" customFormat="1" ht="36.6" customHeight="1">
      <c r="A9" s="360">
        <v>1</v>
      </c>
      <c r="B9" s="361" t="s">
        <v>514</v>
      </c>
      <c r="C9" s="362" t="s">
        <v>515</v>
      </c>
      <c r="D9" s="362" t="s">
        <v>530</v>
      </c>
      <c r="E9" s="362">
        <v>8025348</v>
      </c>
      <c r="F9" s="369">
        <v>770</v>
      </c>
      <c r="G9" s="369">
        <v>700</v>
      </c>
      <c r="H9" s="369">
        <f>I9</f>
        <v>700</v>
      </c>
      <c r="I9" s="369">
        <v>700</v>
      </c>
      <c r="J9" s="363">
        <f>I9/G9*100</f>
        <v>100</v>
      </c>
      <c r="K9" s="363">
        <f>I9</f>
        <v>700</v>
      </c>
      <c r="L9" s="363">
        <f t="shared" si="1"/>
        <v>100</v>
      </c>
      <c r="M9" s="369">
        <v>700</v>
      </c>
      <c r="N9" s="363">
        <f t="shared" ref="N9:N15" si="3">M9/G9*100</f>
        <v>100</v>
      </c>
      <c r="O9" s="451"/>
      <c r="P9" s="530">
        <f t="shared" ref="P9:P15" si="4">K9-I9</f>
        <v>0</v>
      </c>
      <c r="Q9" s="355"/>
      <c r="R9" s="530">
        <f t="shared" ref="R9:R15" si="5">K9-I9</f>
        <v>0</v>
      </c>
    </row>
    <row r="10" spans="1:18" s="356" customFormat="1" ht="36.6" customHeight="1">
      <c r="A10" s="360">
        <v>2</v>
      </c>
      <c r="B10" s="361" t="s">
        <v>516</v>
      </c>
      <c r="C10" s="362" t="s">
        <v>517</v>
      </c>
      <c r="D10" s="362" t="s">
        <v>530</v>
      </c>
      <c r="E10" s="362">
        <v>8025149</v>
      </c>
      <c r="F10" s="369">
        <v>440</v>
      </c>
      <c r="G10" s="369">
        <v>400</v>
      </c>
      <c r="H10" s="369">
        <f>G10</f>
        <v>400</v>
      </c>
      <c r="I10" s="369">
        <f>H10</f>
        <v>400</v>
      </c>
      <c r="J10" s="363">
        <f t="shared" ref="J10:J15" si="6">I10/G10*100</f>
        <v>100</v>
      </c>
      <c r="K10" s="363">
        <f>H10</f>
        <v>400</v>
      </c>
      <c r="L10" s="363">
        <f t="shared" si="1"/>
        <v>100</v>
      </c>
      <c r="M10" s="369">
        <v>400</v>
      </c>
      <c r="N10" s="363">
        <f t="shared" si="3"/>
        <v>100</v>
      </c>
      <c r="O10" s="451"/>
      <c r="P10" s="530">
        <f t="shared" si="4"/>
        <v>0</v>
      </c>
      <c r="R10" s="530">
        <f t="shared" si="5"/>
        <v>0</v>
      </c>
    </row>
    <row r="11" spans="1:18" s="356" customFormat="1" ht="36.6" customHeight="1">
      <c r="A11" s="360">
        <v>3</v>
      </c>
      <c r="B11" s="361" t="s">
        <v>518</v>
      </c>
      <c r="C11" s="362" t="s">
        <v>519</v>
      </c>
      <c r="D11" s="362" t="s">
        <v>530</v>
      </c>
      <c r="E11" s="362">
        <v>8025350</v>
      </c>
      <c r="F11" s="369">
        <v>550</v>
      </c>
      <c r="G11" s="369">
        <v>500</v>
      </c>
      <c r="H11" s="369">
        <f t="shared" ref="H11:H14" si="7">I11</f>
        <v>461.738</v>
      </c>
      <c r="I11" s="369">
        <v>461.738</v>
      </c>
      <c r="J11" s="363">
        <f t="shared" si="6"/>
        <v>92.3476</v>
      </c>
      <c r="K11" s="363">
        <f>I11</f>
        <v>461.738</v>
      </c>
      <c r="L11" s="363">
        <f t="shared" si="1"/>
        <v>92.3476</v>
      </c>
      <c r="M11" s="369">
        <v>500</v>
      </c>
      <c r="N11" s="363">
        <f t="shared" si="3"/>
        <v>100</v>
      </c>
      <c r="O11" s="451"/>
      <c r="P11" s="530">
        <f t="shared" si="4"/>
        <v>0</v>
      </c>
      <c r="Q11" s="445"/>
      <c r="R11" s="530">
        <f t="shared" si="5"/>
        <v>0</v>
      </c>
    </row>
    <row r="12" spans="1:18" s="356" customFormat="1" ht="36.6" customHeight="1">
      <c r="A12" s="360">
        <v>4</v>
      </c>
      <c r="B12" s="361" t="s">
        <v>520</v>
      </c>
      <c r="C12" s="362" t="s">
        <v>521</v>
      </c>
      <c r="D12" s="362" t="s">
        <v>530</v>
      </c>
      <c r="E12" s="362">
        <v>8026986</v>
      </c>
      <c r="F12" s="369">
        <v>770</v>
      </c>
      <c r="G12" s="369">
        <v>700</v>
      </c>
      <c r="H12" s="369">
        <f t="shared" si="7"/>
        <v>658.04</v>
      </c>
      <c r="I12" s="369">
        <v>658.04</v>
      </c>
      <c r="J12" s="363">
        <f t="shared" si="6"/>
        <v>94.005714285714276</v>
      </c>
      <c r="K12" s="363">
        <f>I12</f>
        <v>658.04</v>
      </c>
      <c r="L12" s="363">
        <f t="shared" si="1"/>
        <v>94.005714285714276</v>
      </c>
      <c r="M12" s="369">
        <v>700</v>
      </c>
      <c r="N12" s="363">
        <f t="shared" si="3"/>
        <v>100</v>
      </c>
      <c r="O12" s="451"/>
      <c r="P12" s="530">
        <f t="shared" si="4"/>
        <v>0</v>
      </c>
      <c r="R12" s="530">
        <f t="shared" si="5"/>
        <v>0</v>
      </c>
    </row>
    <row r="13" spans="1:18" ht="36.6" customHeight="1">
      <c r="A13" s="360">
        <v>5</v>
      </c>
      <c r="B13" s="361" t="s">
        <v>522</v>
      </c>
      <c r="C13" s="362" t="s">
        <v>523</v>
      </c>
      <c r="D13" s="362" t="s">
        <v>530</v>
      </c>
      <c r="E13" s="362">
        <v>8026325</v>
      </c>
      <c r="F13" s="370">
        <v>1100</v>
      </c>
      <c r="G13" s="370">
        <v>1000</v>
      </c>
      <c r="H13" s="369">
        <f>I13</f>
        <v>952.03800000000001</v>
      </c>
      <c r="I13" s="370">
        <v>952.03800000000001</v>
      </c>
      <c r="J13" s="363">
        <f t="shared" si="6"/>
        <v>95.203800000000001</v>
      </c>
      <c r="K13" s="363">
        <v>750</v>
      </c>
      <c r="L13" s="363">
        <f t="shared" si="1"/>
        <v>75</v>
      </c>
      <c r="M13" s="370">
        <v>1000</v>
      </c>
      <c r="N13" s="363">
        <f t="shared" si="3"/>
        <v>100</v>
      </c>
      <c r="O13" s="451"/>
      <c r="P13" s="530">
        <f t="shared" si="4"/>
        <v>-202.03800000000001</v>
      </c>
      <c r="R13" s="530">
        <f t="shared" si="5"/>
        <v>-202.03800000000001</v>
      </c>
    </row>
    <row r="14" spans="1:18" ht="58.2" customHeight="1">
      <c r="A14" s="360">
        <v>6</v>
      </c>
      <c r="B14" s="364" t="s">
        <v>524</v>
      </c>
      <c r="C14" s="362" t="s">
        <v>525</v>
      </c>
      <c r="D14" s="362" t="s">
        <v>530</v>
      </c>
      <c r="E14" s="362">
        <v>8025349</v>
      </c>
      <c r="F14" s="370">
        <v>990</v>
      </c>
      <c r="G14" s="370">
        <v>900</v>
      </c>
      <c r="H14" s="369">
        <f t="shared" si="7"/>
        <v>860.40200000000004</v>
      </c>
      <c r="I14" s="370">
        <v>860.40200000000004</v>
      </c>
      <c r="J14" s="363">
        <f t="shared" si="6"/>
        <v>95.600222222222229</v>
      </c>
      <c r="K14" s="363">
        <f>I14</f>
        <v>860.40200000000004</v>
      </c>
      <c r="L14" s="363">
        <f t="shared" si="1"/>
        <v>95.600222222222229</v>
      </c>
      <c r="M14" s="370">
        <v>900</v>
      </c>
      <c r="N14" s="363">
        <f t="shared" si="3"/>
        <v>100</v>
      </c>
      <c r="O14" s="451"/>
      <c r="P14" s="530">
        <f t="shared" si="4"/>
        <v>0</v>
      </c>
      <c r="R14" s="530">
        <f t="shared" si="5"/>
        <v>0</v>
      </c>
    </row>
    <row r="15" spans="1:18" ht="58.2" customHeight="1">
      <c r="A15" s="360">
        <v>7</v>
      </c>
      <c r="B15" s="361" t="s">
        <v>526</v>
      </c>
      <c r="C15" s="362" t="s">
        <v>527</v>
      </c>
      <c r="D15" s="362" t="s">
        <v>530</v>
      </c>
      <c r="E15" s="362">
        <v>8028527</v>
      </c>
      <c r="F15" s="369">
        <v>1980</v>
      </c>
      <c r="G15" s="369">
        <v>1800</v>
      </c>
      <c r="H15" s="369">
        <f>I15</f>
        <v>1383</v>
      </c>
      <c r="I15" s="369">
        <v>1383</v>
      </c>
      <c r="J15" s="363">
        <f t="shared" si="6"/>
        <v>76.833333333333329</v>
      </c>
      <c r="K15" s="363">
        <v>1400</v>
      </c>
      <c r="L15" s="363">
        <f t="shared" si="1"/>
        <v>77.777777777777786</v>
      </c>
      <c r="M15" s="369">
        <v>1800</v>
      </c>
      <c r="N15" s="363">
        <f t="shared" si="3"/>
        <v>100</v>
      </c>
      <c r="O15" s="451"/>
      <c r="P15" s="530">
        <f t="shared" si="4"/>
        <v>17</v>
      </c>
      <c r="R15" s="530">
        <f t="shared" si="5"/>
        <v>17</v>
      </c>
    </row>
  </sheetData>
  <mergeCells count="19">
    <mergeCell ref="L6:L7"/>
    <mergeCell ref="M6:M7"/>
    <mergeCell ref="N6:N7"/>
    <mergeCell ref="A2:O2"/>
    <mergeCell ref="A3:O3"/>
    <mergeCell ref="A4:O4"/>
    <mergeCell ref="F5:O5"/>
    <mergeCell ref="A6:A7"/>
    <mergeCell ref="B6:B7"/>
    <mergeCell ref="C6:C7"/>
    <mergeCell ref="F6:F7"/>
    <mergeCell ref="O6:O7"/>
    <mergeCell ref="H6:H7"/>
    <mergeCell ref="I6:I7"/>
    <mergeCell ref="J6:J7"/>
    <mergeCell ref="G6:G7"/>
    <mergeCell ref="D6:D7"/>
    <mergeCell ref="E6:E7"/>
    <mergeCell ref="K6:K7"/>
  </mergeCells>
  <pageMargins left="0.59055118110236227" right="0.19685039370078741" top="0.59055118110236227" bottom="0.39370078740157483" header="0.31496062992125984" footer="0.19685039370078741"/>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97F0A-9440-4701-AE20-AF8D9C2274A0}">
  <sheetPr>
    <tabColor rgb="FFFF0000"/>
  </sheetPr>
  <dimension ref="A1:H23"/>
  <sheetViews>
    <sheetView workbookViewId="0">
      <selection activeCell="I26" sqref="I26"/>
    </sheetView>
  </sheetViews>
  <sheetFormatPr defaultRowHeight="13.8"/>
  <cols>
    <col min="1" max="1" width="8" style="18" customWidth="1"/>
    <col min="2" max="2" width="26.33203125" style="616" customWidth="1"/>
    <col min="3" max="3" width="19" style="18" customWidth="1"/>
    <col min="4" max="4" width="17" style="18" customWidth="1"/>
    <col min="5" max="5" width="10.5546875" style="18" customWidth="1"/>
    <col min="6" max="7" width="8.88671875" style="18"/>
    <col min="8" max="8" width="11.88671875" style="18" bestFit="1" customWidth="1"/>
    <col min="9" max="16384" width="8.88671875" style="18"/>
  </cols>
  <sheetData>
    <row r="1" spans="1:5" ht="21" customHeight="1">
      <c r="D1" s="874" t="s">
        <v>620</v>
      </c>
      <c r="E1" s="874"/>
    </row>
    <row r="2" spans="1:5" ht="23.4" customHeight="1">
      <c r="A2" s="872" t="s">
        <v>610</v>
      </c>
      <c r="B2" s="872"/>
      <c r="C2" s="872"/>
      <c r="D2" s="872"/>
      <c r="E2" s="872"/>
    </row>
    <row r="3" spans="1:5" ht="19.8" customHeight="1">
      <c r="A3" s="615" t="s">
        <v>510</v>
      </c>
      <c r="B3" s="600" t="s">
        <v>586</v>
      </c>
      <c r="C3" s="600" t="s">
        <v>587</v>
      </c>
      <c r="D3" s="600" t="s">
        <v>588</v>
      </c>
      <c r="E3" s="600" t="s">
        <v>589</v>
      </c>
    </row>
    <row r="4" spans="1:5" ht="17.399999999999999" customHeight="1">
      <c r="A4" s="615"/>
      <c r="B4" s="617" t="s">
        <v>595</v>
      </c>
      <c r="C4" s="601">
        <f>SUM(C6:C21)</f>
        <v>119582.47200000001</v>
      </c>
      <c r="D4" s="601">
        <f>SUM(D6:D21)</f>
        <v>89807.659</v>
      </c>
      <c r="E4" s="602">
        <f>D4/C4*100</f>
        <v>75.101022330429828</v>
      </c>
    </row>
    <row r="5" spans="1:5" ht="15.6" hidden="1" customHeight="1">
      <c r="A5" s="615"/>
      <c r="B5" s="600"/>
      <c r="C5" s="601"/>
      <c r="D5" s="601"/>
      <c r="E5" s="602"/>
    </row>
    <row r="6" spans="1:5" ht="19.8" customHeight="1">
      <c r="A6" s="613">
        <v>1</v>
      </c>
      <c r="B6" s="297" t="s">
        <v>134</v>
      </c>
      <c r="C6" s="603">
        <v>636.06600000000003</v>
      </c>
      <c r="D6" s="603">
        <v>636.06600000000003</v>
      </c>
      <c r="E6" s="604">
        <f t="shared" ref="E6:E21" si="0">D6/C6*100</f>
        <v>100</v>
      </c>
    </row>
    <row r="7" spans="1:5" ht="15.6">
      <c r="A7" s="613">
        <v>2</v>
      </c>
      <c r="B7" s="297" t="s">
        <v>293</v>
      </c>
      <c r="C7" s="603">
        <v>4081.1509999999998</v>
      </c>
      <c r="D7" s="603">
        <v>3843.3319999999999</v>
      </c>
      <c r="E7" s="604">
        <f t="shared" si="0"/>
        <v>94.172746854992624</v>
      </c>
    </row>
    <row r="8" spans="1:5" ht="15.6">
      <c r="A8" s="613">
        <v>3</v>
      </c>
      <c r="B8" s="297" t="s">
        <v>287</v>
      </c>
      <c r="C8" s="603">
        <v>4220</v>
      </c>
      <c r="D8" s="603">
        <v>3911.77</v>
      </c>
      <c r="E8" s="604">
        <f t="shared" si="0"/>
        <v>92.695971563981033</v>
      </c>
    </row>
    <row r="9" spans="1:5" ht="15.6">
      <c r="A9" s="613">
        <v>4</v>
      </c>
      <c r="B9" s="297" t="s">
        <v>291</v>
      </c>
      <c r="C9" s="603">
        <v>6058.3990000000003</v>
      </c>
      <c r="D9" s="603">
        <v>5350.143</v>
      </c>
      <c r="E9" s="604">
        <f t="shared" si="0"/>
        <v>88.30951873589045</v>
      </c>
    </row>
    <row r="10" spans="1:5" ht="15.6">
      <c r="A10" s="613">
        <v>5</v>
      </c>
      <c r="B10" s="297" t="s">
        <v>178</v>
      </c>
      <c r="C10" s="603">
        <v>3657.0299999999997</v>
      </c>
      <c r="D10" s="603">
        <v>3201.1210000000001</v>
      </c>
      <c r="E10" s="604">
        <f t="shared" si="0"/>
        <v>87.533353568332785</v>
      </c>
    </row>
    <row r="11" spans="1:5" ht="15.6">
      <c r="A11" s="613">
        <v>6</v>
      </c>
      <c r="B11" s="297" t="s">
        <v>294</v>
      </c>
      <c r="C11" s="603">
        <v>8199.8610000000008</v>
      </c>
      <c r="D11" s="603">
        <v>7141.1629999999996</v>
      </c>
      <c r="E11" s="604">
        <f t="shared" si="0"/>
        <v>87.088829920409623</v>
      </c>
    </row>
    <row r="12" spans="1:5" ht="15.6">
      <c r="A12" s="613">
        <v>7</v>
      </c>
      <c r="B12" s="297" t="s">
        <v>295</v>
      </c>
      <c r="C12" s="603">
        <v>6387.433</v>
      </c>
      <c r="D12" s="603">
        <v>5246.84</v>
      </c>
      <c r="E12" s="604">
        <f t="shared" si="0"/>
        <v>82.143170816821097</v>
      </c>
    </row>
    <row r="13" spans="1:5" ht="15.6">
      <c r="A13" s="613">
        <v>8</v>
      </c>
      <c r="B13" s="297" t="s">
        <v>175</v>
      </c>
      <c r="C13" s="603">
        <v>4019.703</v>
      </c>
      <c r="D13" s="603">
        <v>3289.799</v>
      </c>
      <c r="E13" s="604">
        <f t="shared" si="0"/>
        <v>81.841842544088465</v>
      </c>
    </row>
    <row r="14" spans="1:5" ht="15.6">
      <c r="A14" s="613">
        <v>9</v>
      </c>
      <c r="B14" s="605" t="s">
        <v>184</v>
      </c>
      <c r="C14" s="656">
        <v>11578.118</v>
      </c>
      <c r="D14" s="656">
        <v>9124.3009999999995</v>
      </c>
      <c r="E14" s="657">
        <f t="shared" si="0"/>
        <v>78.806426053007911</v>
      </c>
    </row>
    <row r="15" spans="1:5" ht="15.6">
      <c r="A15" s="613">
        <v>10</v>
      </c>
      <c r="B15" s="297" t="s">
        <v>297</v>
      </c>
      <c r="C15" s="656">
        <v>4717.9759999999997</v>
      </c>
      <c r="D15" s="656">
        <v>3597.663</v>
      </c>
      <c r="E15" s="657">
        <f t="shared" si="0"/>
        <v>76.254372637758223</v>
      </c>
    </row>
    <row r="16" spans="1:5" s="658" customFormat="1">
      <c r="A16" s="613">
        <v>11</v>
      </c>
      <c r="B16" s="606" t="s">
        <v>590</v>
      </c>
      <c r="C16" s="603">
        <v>48559.901000000005</v>
      </c>
      <c r="D16" s="603">
        <v>36313.466</v>
      </c>
      <c r="E16" s="626">
        <f t="shared" si="0"/>
        <v>74.780766130474603</v>
      </c>
    </row>
    <row r="17" spans="1:8" s="658" customFormat="1" ht="15.6">
      <c r="A17" s="613">
        <v>12</v>
      </c>
      <c r="B17" s="80" t="s">
        <v>290</v>
      </c>
      <c r="C17" s="603">
        <v>5396.9120000000003</v>
      </c>
      <c r="D17" s="603">
        <v>3758.1849999999999</v>
      </c>
      <c r="E17" s="626">
        <f t="shared" si="0"/>
        <v>69.635839902522036</v>
      </c>
      <c r="H17" s="659"/>
    </row>
    <row r="18" spans="1:8" s="658" customFormat="1" ht="15.6">
      <c r="A18" s="613">
        <v>13</v>
      </c>
      <c r="B18" s="80" t="s">
        <v>289</v>
      </c>
      <c r="C18" s="603">
        <v>4254.5879999999997</v>
      </c>
      <c r="D18" s="603">
        <v>2869.3380000000002</v>
      </c>
      <c r="E18" s="626">
        <f t="shared" si="0"/>
        <v>67.441030717897959</v>
      </c>
    </row>
    <row r="19" spans="1:8" s="658" customFormat="1" ht="15.6">
      <c r="A19" s="613">
        <v>14</v>
      </c>
      <c r="B19" s="660" t="s">
        <v>133</v>
      </c>
      <c r="C19" s="603">
        <v>2470.3339999999998</v>
      </c>
      <c r="D19" s="603">
        <v>1524.472</v>
      </c>
      <c r="E19" s="626">
        <f t="shared" si="0"/>
        <v>61.71116942081516</v>
      </c>
    </row>
    <row r="20" spans="1:8" s="658" customFormat="1" ht="15.6">
      <c r="A20" s="613">
        <v>15</v>
      </c>
      <c r="B20" s="66" t="s">
        <v>594</v>
      </c>
      <c r="C20" s="603">
        <v>1000</v>
      </c>
      <c r="D20" s="606">
        <v>0</v>
      </c>
      <c r="E20" s="626">
        <f t="shared" si="0"/>
        <v>0</v>
      </c>
    </row>
    <row r="21" spans="1:8" s="658" customFormat="1" ht="15.6">
      <c r="A21" s="613">
        <v>16</v>
      </c>
      <c r="B21" s="66" t="s">
        <v>298</v>
      </c>
      <c r="C21" s="603">
        <v>4345</v>
      </c>
      <c r="D21" s="606">
        <v>0</v>
      </c>
      <c r="E21" s="626">
        <f t="shared" si="0"/>
        <v>0</v>
      </c>
    </row>
    <row r="23" spans="1:8" ht="18">
      <c r="A23" s="873"/>
      <c r="B23" s="873"/>
      <c r="C23" s="873"/>
      <c r="D23" s="873"/>
      <c r="E23" s="873"/>
      <c r="F23" s="628"/>
    </row>
  </sheetData>
  <autoFilter ref="A5:H5" xr:uid="{DEE5C2DF-9F06-4495-8D6E-5575E84688D0}">
    <sortState xmlns:xlrd2="http://schemas.microsoft.com/office/spreadsheetml/2017/richdata2" ref="A6:H21">
      <sortCondition descending="1" ref="E5"/>
    </sortState>
  </autoFilter>
  <mergeCells count="3">
    <mergeCell ref="A2:E2"/>
    <mergeCell ref="A23:E23"/>
    <mergeCell ref="D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091A8-8C4A-4FAB-8A1C-60DAB6D74310}">
  <sheetPr>
    <tabColor rgb="FFFF0000"/>
  </sheetPr>
  <dimension ref="A1:K24"/>
  <sheetViews>
    <sheetView workbookViewId="0">
      <selection activeCell="C18" sqref="C18"/>
    </sheetView>
  </sheetViews>
  <sheetFormatPr defaultRowHeight="14.4"/>
  <cols>
    <col min="1" max="1" width="6.21875" customWidth="1"/>
    <col min="2" max="2" width="26.33203125" style="609" customWidth="1"/>
    <col min="3" max="3" width="15.44140625" customWidth="1"/>
    <col min="4" max="4" width="13.33203125" customWidth="1"/>
    <col min="5" max="5" width="10.5546875" customWidth="1"/>
    <col min="6" max="6" width="10.77734375" customWidth="1"/>
    <col min="8" max="9" width="14" bestFit="1" customWidth="1"/>
    <col min="10" max="10" width="20.44140625" customWidth="1"/>
    <col min="11" max="11" width="12.88671875" bestFit="1" customWidth="1"/>
  </cols>
  <sheetData>
    <row r="1" spans="1:11" ht="15.6">
      <c r="E1" s="875" t="s">
        <v>621</v>
      </c>
      <c r="F1" s="875"/>
    </row>
    <row r="2" spans="1:11" ht="24.6" customHeight="1">
      <c r="A2" s="872" t="s">
        <v>611</v>
      </c>
      <c r="B2" s="872"/>
      <c r="C2" s="872"/>
      <c r="D2" s="872"/>
      <c r="E2" s="872"/>
    </row>
    <row r="3" spans="1:11" ht="19.8" customHeight="1">
      <c r="A3" s="600" t="s">
        <v>510</v>
      </c>
      <c r="B3" s="600" t="s">
        <v>586</v>
      </c>
      <c r="C3" s="600" t="s">
        <v>591</v>
      </c>
      <c r="D3" s="600" t="s">
        <v>588</v>
      </c>
      <c r="E3" s="600" t="s">
        <v>589</v>
      </c>
      <c r="F3" s="600" t="s">
        <v>592</v>
      </c>
    </row>
    <row r="4" spans="1:11" ht="19.2" customHeight="1">
      <c r="A4" s="599"/>
      <c r="B4" s="617" t="s">
        <v>595</v>
      </c>
      <c r="C4" s="601">
        <f>SUM(C6:C22)</f>
        <v>185551</v>
      </c>
      <c r="D4" s="601">
        <f>SUM(D6:D22)</f>
        <v>106085.98219499999</v>
      </c>
      <c r="E4" s="602">
        <f>D4/C4*100</f>
        <v>57.173489873404073</v>
      </c>
      <c r="F4" s="610"/>
      <c r="H4" s="612">
        <f>C4+'[1]XEP THEO CĐT 2022'!C5</f>
        <v>305133.47200000001</v>
      </c>
      <c r="I4" s="612">
        <f>D4+'[1]XEP THEO CĐT 2022'!D5</f>
        <v>184177.96989499999</v>
      </c>
      <c r="J4" s="654">
        <f>'KH 2023'!I8+'CT MTQG 2023'!J9+'LUT BAO'!I8</f>
        <v>118620.31755800001</v>
      </c>
      <c r="K4" s="607">
        <f>J4-D4</f>
        <v>12534.33536300002</v>
      </c>
    </row>
    <row r="5" spans="1:11" ht="20.399999999999999" hidden="1" customHeight="1">
      <c r="A5" s="599"/>
      <c r="B5" s="600"/>
      <c r="C5" s="601"/>
      <c r="D5" s="601"/>
      <c r="E5" s="602"/>
      <c r="F5" s="610"/>
    </row>
    <row r="6" spans="1:11" ht="19.8" customHeight="1">
      <c r="A6" s="613">
        <v>1</v>
      </c>
      <c r="B6" s="337" t="s">
        <v>593</v>
      </c>
      <c r="C6" s="611">
        <v>2.524</v>
      </c>
      <c r="D6" s="611">
        <f>C6</f>
        <v>2.524</v>
      </c>
      <c r="E6" s="655">
        <f t="shared" ref="E6:E22" si="0">D6/C6*100</f>
        <v>100</v>
      </c>
      <c r="F6" s="614"/>
    </row>
    <row r="7" spans="1:11" ht="15.6">
      <c r="A7" s="613">
        <v>2</v>
      </c>
      <c r="B7" s="297" t="s">
        <v>287</v>
      </c>
      <c r="C7" s="603">
        <v>2900</v>
      </c>
      <c r="D7" s="603">
        <v>2817.761</v>
      </c>
      <c r="E7" s="655">
        <f t="shared" si="0"/>
        <v>97.164172413793111</v>
      </c>
      <c r="F7" s="614"/>
    </row>
    <row r="8" spans="1:11" ht="15.6">
      <c r="A8" s="613">
        <v>3</v>
      </c>
      <c r="B8" s="297" t="s">
        <v>178</v>
      </c>
      <c r="C8" s="603">
        <v>3176</v>
      </c>
      <c r="D8" s="603">
        <v>2765.549</v>
      </c>
      <c r="E8" s="655">
        <f t="shared" si="0"/>
        <v>87.076479848866498</v>
      </c>
      <c r="F8" s="614"/>
    </row>
    <row r="9" spans="1:11" ht="15.6">
      <c r="A9" s="613">
        <v>4</v>
      </c>
      <c r="B9" s="297" t="s">
        <v>291</v>
      </c>
      <c r="C9" s="603">
        <v>1900</v>
      </c>
      <c r="D9" s="603">
        <v>1563.0239999999999</v>
      </c>
      <c r="E9" s="655">
        <f t="shared" si="0"/>
        <v>82.264421052631576</v>
      </c>
      <c r="F9" s="614"/>
    </row>
    <row r="10" spans="1:11" ht="15.6">
      <c r="A10" s="613">
        <v>5</v>
      </c>
      <c r="B10" s="297" t="s">
        <v>294</v>
      </c>
      <c r="C10" s="611">
        <v>4200</v>
      </c>
      <c r="D10" s="611">
        <v>3398.0850999999998</v>
      </c>
      <c r="E10" s="655">
        <f t="shared" si="0"/>
        <v>80.906788095238085</v>
      </c>
      <c r="F10" s="614"/>
    </row>
    <row r="11" spans="1:11" ht="17.399999999999999" customHeight="1">
      <c r="A11" s="613">
        <v>6</v>
      </c>
      <c r="B11" s="297" t="s">
        <v>290</v>
      </c>
      <c r="C11" s="603">
        <v>1456</v>
      </c>
      <c r="D11" s="603">
        <v>1166.5540000000001</v>
      </c>
      <c r="E11" s="655">
        <f t="shared" si="0"/>
        <v>80.120467032967042</v>
      </c>
      <c r="F11" s="614"/>
      <c r="H11" s="607"/>
    </row>
    <row r="12" spans="1:11" ht="15.6">
      <c r="A12" s="613">
        <v>7</v>
      </c>
      <c r="B12" s="608" t="s">
        <v>133</v>
      </c>
      <c r="C12" s="603">
        <v>2890</v>
      </c>
      <c r="D12" s="603">
        <v>2230.8040000000001</v>
      </c>
      <c r="E12" s="655">
        <f t="shared" si="0"/>
        <v>77.190449826989621</v>
      </c>
      <c r="F12" s="614"/>
    </row>
    <row r="13" spans="1:11" ht="15.6">
      <c r="A13" s="613">
        <v>8</v>
      </c>
      <c r="B13" s="297" t="s">
        <v>175</v>
      </c>
      <c r="C13" s="603">
        <v>3575</v>
      </c>
      <c r="D13" s="603">
        <v>2736.4569999999999</v>
      </c>
      <c r="E13" s="655">
        <f t="shared" si="0"/>
        <v>76.544251748251753</v>
      </c>
      <c r="F13" s="614"/>
      <c r="H13" s="607"/>
    </row>
    <row r="14" spans="1:11" ht="15.6">
      <c r="A14" s="613">
        <v>9</v>
      </c>
      <c r="B14" s="297" t="s">
        <v>134</v>
      </c>
      <c r="C14" s="603">
        <v>376.82</v>
      </c>
      <c r="D14" s="603">
        <f>277.919095+1.82</f>
        <v>279.73909500000002</v>
      </c>
      <c r="E14" s="627">
        <f t="shared" si="0"/>
        <v>74.236796083010461</v>
      </c>
      <c r="F14" s="614"/>
      <c r="J14" s="607">
        <f>C14-7800</f>
        <v>-7423.18</v>
      </c>
      <c r="K14" s="653">
        <f>D14/J14*100</f>
        <v>-3.7684536142192431</v>
      </c>
    </row>
    <row r="15" spans="1:11" ht="15.6">
      <c r="A15" s="613">
        <v>10</v>
      </c>
      <c r="B15" s="297" t="s">
        <v>297</v>
      </c>
      <c r="C15" s="603">
        <v>3443</v>
      </c>
      <c r="D15" s="603">
        <v>2153.2890000000002</v>
      </c>
      <c r="E15" s="627">
        <f t="shared" si="0"/>
        <v>62.54106883531805</v>
      </c>
      <c r="F15" s="614"/>
    </row>
    <row r="16" spans="1:11" ht="15.6">
      <c r="A16" s="613">
        <v>11</v>
      </c>
      <c r="B16" s="297" t="s">
        <v>289</v>
      </c>
      <c r="C16" s="603">
        <v>1300</v>
      </c>
      <c r="D16" s="603">
        <v>737.75</v>
      </c>
      <c r="E16" s="627">
        <f t="shared" si="0"/>
        <v>56.75</v>
      </c>
      <c r="F16" s="614"/>
    </row>
    <row r="17" spans="1:8" ht="39.6">
      <c r="A17" s="613">
        <v>12</v>
      </c>
      <c r="B17" s="606" t="s">
        <v>590</v>
      </c>
      <c r="C17" s="603">
        <v>149875.41099999999</v>
      </c>
      <c r="D17" s="603">
        <f>27048.142+5400.949+50276.48</f>
        <v>82725.570999999996</v>
      </c>
      <c r="E17" s="627">
        <f t="shared" si="0"/>
        <v>55.196226284243522</v>
      </c>
      <c r="F17" s="348" t="s">
        <v>598</v>
      </c>
      <c r="H17" s="607"/>
    </row>
    <row r="18" spans="1:8" ht="15.6">
      <c r="A18" s="613">
        <v>13</v>
      </c>
      <c r="B18" s="297" t="s">
        <v>295</v>
      </c>
      <c r="C18" s="603">
        <v>1962.5</v>
      </c>
      <c r="D18" s="603">
        <v>1048.8900000000001</v>
      </c>
      <c r="E18" s="627">
        <f t="shared" si="0"/>
        <v>53.446624203821656</v>
      </c>
      <c r="F18" s="614"/>
    </row>
    <row r="19" spans="1:8" ht="15.6">
      <c r="A19" s="613">
        <v>14</v>
      </c>
      <c r="B19" s="297" t="s">
        <v>293</v>
      </c>
      <c r="C19" s="603">
        <v>1920</v>
      </c>
      <c r="D19" s="603">
        <v>997.40300000000002</v>
      </c>
      <c r="E19" s="627">
        <f t="shared" si="0"/>
        <v>51.948072916666668</v>
      </c>
      <c r="F19" s="614"/>
    </row>
    <row r="20" spans="1:8" ht="15.6">
      <c r="A20" s="613">
        <v>15</v>
      </c>
      <c r="B20" s="605" t="s">
        <v>184</v>
      </c>
      <c r="C20" s="603">
        <v>3528.7449999999999</v>
      </c>
      <c r="D20" s="603">
        <v>1462.5820000000001</v>
      </c>
      <c r="E20" s="627">
        <f t="shared" si="0"/>
        <v>41.447653485871044</v>
      </c>
      <c r="F20" s="614"/>
    </row>
    <row r="21" spans="1:8" ht="15.6">
      <c r="A21" s="613">
        <v>16</v>
      </c>
      <c r="B21" s="337" t="s">
        <v>298</v>
      </c>
      <c r="C21" s="603">
        <v>2645</v>
      </c>
      <c r="D21" s="606">
        <v>0</v>
      </c>
      <c r="E21" s="627">
        <f t="shared" si="0"/>
        <v>0</v>
      </c>
      <c r="F21" s="614"/>
    </row>
    <row r="22" spans="1:8" ht="31.2">
      <c r="A22" s="613">
        <v>17</v>
      </c>
      <c r="B22" s="337" t="s">
        <v>541</v>
      </c>
      <c r="C22" s="611">
        <v>400</v>
      </c>
      <c r="D22" s="611">
        <v>0</v>
      </c>
      <c r="E22" s="627">
        <f t="shared" si="0"/>
        <v>0</v>
      </c>
      <c r="F22" s="614"/>
    </row>
    <row r="24" spans="1:8" ht="16.2">
      <c r="A24" s="873"/>
      <c r="B24" s="873"/>
      <c r="C24" s="873"/>
      <c r="D24" s="873"/>
      <c r="E24" s="873"/>
      <c r="F24" s="873"/>
    </row>
  </sheetData>
  <autoFilter ref="A5:I5" xr:uid="{669E47F0-EBD9-4099-94C0-7761C2D615F0}">
    <sortState xmlns:xlrd2="http://schemas.microsoft.com/office/spreadsheetml/2017/richdata2" ref="A6:I22">
      <sortCondition descending="1" ref="E5"/>
    </sortState>
  </autoFilter>
  <mergeCells count="3">
    <mergeCell ref="A2:E2"/>
    <mergeCell ref="A24:F24"/>
    <mergeCell ref="E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209ED-A847-427B-B303-635CE77048B2}">
  <dimension ref="A1:J23"/>
  <sheetViews>
    <sheetView workbookViewId="0">
      <selection activeCell="K13" sqref="K13"/>
    </sheetView>
  </sheetViews>
  <sheetFormatPr defaultRowHeight="14.4"/>
  <cols>
    <col min="1" max="1" width="6.33203125" customWidth="1"/>
    <col min="2" max="2" width="25" customWidth="1"/>
    <col min="3" max="3" width="13.44140625" customWidth="1"/>
    <col min="4" max="4" width="15.21875" customWidth="1"/>
    <col min="5" max="5" width="11.21875" customWidth="1"/>
    <col min="6" max="6" width="12.77734375" customWidth="1"/>
    <col min="7" max="7" width="15.33203125" customWidth="1"/>
    <col min="8" max="8" width="10.5546875" customWidth="1"/>
    <col min="9" max="9" width="13.5546875" customWidth="1"/>
  </cols>
  <sheetData>
    <row r="1" spans="1:10" ht="24.6" customHeight="1">
      <c r="A1" s="878" t="s">
        <v>622</v>
      </c>
      <c r="B1" s="878"/>
      <c r="C1" s="878"/>
      <c r="D1" s="878"/>
      <c r="E1" s="878"/>
      <c r="F1" s="878"/>
      <c r="G1" s="878"/>
      <c r="H1" s="878"/>
      <c r="I1" s="878"/>
    </row>
    <row r="2" spans="1:10" ht="27.6" customHeight="1">
      <c r="A2" s="877" t="s">
        <v>619</v>
      </c>
      <c r="B2" s="877"/>
      <c r="C2" s="877"/>
      <c r="D2" s="877"/>
      <c r="E2" s="877"/>
      <c r="F2" s="877"/>
      <c r="G2" s="877"/>
      <c r="H2" s="877"/>
      <c r="I2" s="877"/>
      <c r="J2" s="689"/>
    </row>
    <row r="3" spans="1:10" ht="24" customHeight="1">
      <c r="A3" s="876" t="s">
        <v>510</v>
      </c>
      <c r="B3" s="876" t="s">
        <v>603</v>
      </c>
      <c r="C3" s="879" t="s">
        <v>613</v>
      </c>
      <c r="D3" s="879"/>
      <c r="E3" s="879"/>
      <c r="F3" s="879" t="s">
        <v>614</v>
      </c>
      <c r="G3" s="879"/>
      <c r="H3" s="879"/>
      <c r="I3" s="876" t="s">
        <v>2</v>
      </c>
    </row>
    <row r="4" spans="1:10" ht="35.4" customHeight="1">
      <c r="A4" s="876"/>
      <c r="B4" s="876"/>
      <c r="C4" s="683" t="s">
        <v>617</v>
      </c>
      <c r="D4" s="683" t="s">
        <v>618</v>
      </c>
      <c r="E4" s="683" t="s">
        <v>615</v>
      </c>
      <c r="F4" s="683" t="s">
        <v>617</v>
      </c>
      <c r="G4" s="683" t="s">
        <v>618</v>
      </c>
      <c r="H4" s="683" t="s">
        <v>615</v>
      </c>
      <c r="I4" s="876"/>
    </row>
    <row r="5" spans="1:10" ht="23.4" customHeight="1">
      <c r="A5" s="647"/>
      <c r="B5" s="175" t="s">
        <v>29</v>
      </c>
      <c r="C5" s="647">
        <f>SUM(C6:C23)</f>
        <v>160</v>
      </c>
      <c r="D5" s="647">
        <f>SUM(D6:D23)</f>
        <v>47</v>
      </c>
      <c r="E5" s="687">
        <f>D5/C5*100</f>
        <v>29.375</v>
      </c>
      <c r="F5" s="647">
        <f>SUM(F6:F23)</f>
        <v>199</v>
      </c>
      <c r="G5" s="647">
        <f>SUM(G6:G23)</f>
        <v>83</v>
      </c>
      <c r="H5" s="687">
        <f>G5/F5*100</f>
        <v>41.708542713567837</v>
      </c>
      <c r="I5" s="610"/>
    </row>
    <row r="6" spans="1:10" ht="15.6">
      <c r="A6" s="648">
        <v>1</v>
      </c>
      <c r="B6" s="644" t="s">
        <v>287</v>
      </c>
      <c r="C6" s="649">
        <v>7</v>
      </c>
      <c r="D6" s="649">
        <v>0</v>
      </c>
      <c r="E6" s="686">
        <f>D6/C6*100</f>
        <v>0</v>
      </c>
      <c r="F6" s="649">
        <v>7</v>
      </c>
      <c r="G6" s="649">
        <v>1</v>
      </c>
      <c r="H6" s="686">
        <f>G6/F6*100</f>
        <v>14.285714285714285</v>
      </c>
      <c r="I6" s="610"/>
    </row>
    <row r="7" spans="1:10" ht="15.6">
      <c r="A7" s="648">
        <v>2</v>
      </c>
      <c r="B7" s="644" t="s">
        <v>178</v>
      </c>
      <c r="C7" s="649">
        <v>9</v>
      </c>
      <c r="D7" s="649">
        <v>1</v>
      </c>
      <c r="E7" s="686">
        <f t="shared" ref="E7:E19" si="0">D7/C7*100</f>
        <v>11.111111111111111</v>
      </c>
      <c r="F7" s="649">
        <v>6</v>
      </c>
      <c r="G7" s="649">
        <v>1</v>
      </c>
      <c r="H7" s="686">
        <f t="shared" ref="H7:H23" si="1">G7/F7*100</f>
        <v>16.666666666666664</v>
      </c>
      <c r="I7" s="610"/>
    </row>
    <row r="8" spans="1:10" ht="15.6">
      <c r="A8" s="648">
        <v>3</v>
      </c>
      <c r="B8" s="644" t="s">
        <v>291</v>
      </c>
      <c r="C8" s="649">
        <v>8</v>
      </c>
      <c r="D8" s="649">
        <v>3</v>
      </c>
      <c r="E8" s="686">
        <f t="shared" si="0"/>
        <v>37.5</v>
      </c>
      <c r="F8" s="649">
        <v>5</v>
      </c>
      <c r="G8" s="649">
        <v>1</v>
      </c>
      <c r="H8" s="686">
        <f t="shared" si="1"/>
        <v>20</v>
      </c>
      <c r="I8" s="610"/>
    </row>
    <row r="9" spans="1:10" ht="15.6">
      <c r="A9" s="648">
        <v>4</v>
      </c>
      <c r="B9" s="644" t="s">
        <v>134</v>
      </c>
      <c r="C9" s="649">
        <v>2</v>
      </c>
      <c r="D9" s="649">
        <v>0</v>
      </c>
      <c r="E9" s="686">
        <f t="shared" si="0"/>
        <v>0</v>
      </c>
      <c r="F9" s="649">
        <v>3</v>
      </c>
      <c r="G9" s="649">
        <v>1</v>
      </c>
      <c r="H9" s="686">
        <f t="shared" si="1"/>
        <v>33.333333333333329</v>
      </c>
      <c r="I9" s="610"/>
    </row>
    <row r="10" spans="1:10" ht="15.6">
      <c r="A10" s="648">
        <v>5</v>
      </c>
      <c r="B10" s="644" t="s">
        <v>294</v>
      </c>
      <c r="C10" s="649">
        <v>12</v>
      </c>
      <c r="D10" s="649">
        <v>2</v>
      </c>
      <c r="E10" s="686">
        <f t="shared" si="0"/>
        <v>16.666666666666664</v>
      </c>
      <c r="F10" s="649">
        <v>8</v>
      </c>
      <c r="G10" s="649">
        <v>3</v>
      </c>
      <c r="H10" s="686">
        <f t="shared" si="1"/>
        <v>37.5</v>
      </c>
      <c r="I10" s="610"/>
    </row>
    <row r="11" spans="1:10" ht="15.6">
      <c r="A11" s="648">
        <v>6</v>
      </c>
      <c r="B11" s="645" t="s">
        <v>133</v>
      </c>
      <c r="C11" s="649">
        <v>6</v>
      </c>
      <c r="D11" s="649">
        <v>1</v>
      </c>
      <c r="E11" s="686">
        <f t="shared" si="0"/>
        <v>16.666666666666664</v>
      </c>
      <c r="F11" s="649">
        <v>5</v>
      </c>
      <c r="G11" s="649">
        <v>2</v>
      </c>
      <c r="H11" s="686">
        <f t="shared" si="1"/>
        <v>40</v>
      </c>
      <c r="I11" s="610"/>
    </row>
    <row r="12" spans="1:10" ht="15.6">
      <c r="A12" s="648">
        <v>7</v>
      </c>
      <c r="B12" s="644" t="s">
        <v>175</v>
      </c>
      <c r="C12" s="649">
        <v>7</v>
      </c>
      <c r="D12" s="649">
        <v>3</v>
      </c>
      <c r="E12" s="686">
        <f t="shared" si="0"/>
        <v>42.857142857142854</v>
      </c>
      <c r="F12" s="649">
        <v>7</v>
      </c>
      <c r="G12" s="649">
        <v>1</v>
      </c>
      <c r="H12" s="686">
        <f t="shared" si="1"/>
        <v>14.285714285714285</v>
      </c>
      <c r="I12" s="610"/>
    </row>
    <row r="13" spans="1:10" ht="15.6">
      <c r="A13" s="648">
        <v>8</v>
      </c>
      <c r="B13" s="644" t="s">
        <v>297</v>
      </c>
      <c r="C13" s="649">
        <v>8</v>
      </c>
      <c r="D13" s="649">
        <v>4</v>
      </c>
      <c r="E13" s="686">
        <f t="shared" si="0"/>
        <v>50</v>
      </c>
      <c r="F13" s="649">
        <v>5</v>
      </c>
      <c r="G13" s="649">
        <v>3</v>
      </c>
      <c r="H13" s="686">
        <f t="shared" si="1"/>
        <v>60</v>
      </c>
      <c r="I13" s="610"/>
    </row>
    <row r="14" spans="1:10" ht="15.6">
      <c r="A14" s="648">
        <v>9</v>
      </c>
      <c r="B14" s="644" t="s">
        <v>293</v>
      </c>
      <c r="C14" s="649">
        <v>4</v>
      </c>
      <c r="D14" s="649">
        <v>0</v>
      </c>
      <c r="E14" s="686">
        <f t="shared" si="0"/>
        <v>0</v>
      </c>
      <c r="F14" s="649">
        <v>5</v>
      </c>
      <c r="G14" s="649">
        <v>3</v>
      </c>
      <c r="H14" s="686">
        <f t="shared" si="1"/>
        <v>60</v>
      </c>
      <c r="I14" s="610"/>
    </row>
    <row r="15" spans="1:10" ht="15.6">
      <c r="A15" s="648">
        <v>10</v>
      </c>
      <c r="B15" s="644" t="s">
        <v>290</v>
      </c>
      <c r="C15" s="649">
        <v>9</v>
      </c>
      <c r="D15" s="649">
        <v>4</v>
      </c>
      <c r="E15" s="686">
        <f t="shared" si="0"/>
        <v>44.444444444444443</v>
      </c>
      <c r="F15" s="649">
        <v>4</v>
      </c>
      <c r="G15" s="649">
        <v>1</v>
      </c>
      <c r="H15" s="686">
        <f t="shared" si="1"/>
        <v>25</v>
      </c>
      <c r="I15" s="610"/>
    </row>
    <row r="16" spans="1:10" ht="15.6">
      <c r="A16" s="648">
        <v>11</v>
      </c>
      <c r="B16" s="644" t="s">
        <v>289</v>
      </c>
      <c r="C16" s="649">
        <v>8</v>
      </c>
      <c r="D16" s="649">
        <v>4</v>
      </c>
      <c r="E16" s="686">
        <f t="shared" si="0"/>
        <v>50</v>
      </c>
      <c r="F16" s="649">
        <v>4</v>
      </c>
      <c r="G16" s="649">
        <v>2</v>
      </c>
      <c r="H16" s="686">
        <f t="shared" si="1"/>
        <v>50</v>
      </c>
      <c r="I16" s="610"/>
    </row>
    <row r="17" spans="1:9" ht="15.6">
      <c r="A17" s="648">
        <v>12</v>
      </c>
      <c r="B17" s="644" t="s">
        <v>295</v>
      </c>
      <c r="C17" s="649">
        <v>11</v>
      </c>
      <c r="D17" s="649">
        <v>3</v>
      </c>
      <c r="E17" s="686">
        <f t="shared" si="0"/>
        <v>27.27272727272727</v>
      </c>
      <c r="F17" s="649">
        <v>6</v>
      </c>
      <c r="G17" s="649">
        <v>5</v>
      </c>
      <c r="H17" s="686">
        <f t="shared" si="1"/>
        <v>83.333333333333343</v>
      </c>
      <c r="I17" s="610"/>
    </row>
    <row r="18" spans="1:9" ht="15.6">
      <c r="A18" s="648">
        <v>13</v>
      </c>
      <c r="B18" s="646" t="s">
        <v>184</v>
      </c>
      <c r="C18" s="649">
        <v>13</v>
      </c>
      <c r="D18" s="649">
        <v>5</v>
      </c>
      <c r="E18" s="686">
        <f t="shared" si="0"/>
        <v>38.461538461538467</v>
      </c>
      <c r="F18" s="649">
        <v>10</v>
      </c>
      <c r="G18" s="649">
        <v>9</v>
      </c>
      <c r="H18" s="686">
        <f t="shared" si="1"/>
        <v>90</v>
      </c>
      <c r="I18" s="610"/>
    </row>
    <row r="19" spans="1:9">
      <c r="A19" s="648">
        <v>14</v>
      </c>
      <c r="B19" s="651" t="s">
        <v>590</v>
      </c>
      <c r="C19" s="649">
        <v>54</v>
      </c>
      <c r="D19" s="649">
        <v>15</v>
      </c>
      <c r="E19" s="686">
        <f t="shared" si="0"/>
        <v>27.777777777777779</v>
      </c>
      <c r="F19" s="649">
        <v>119</v>
      </c>
      <c r="G19" s="649">
        <v>46</v>
      </c>
      <c r="H19" s="686">
        <f t="shared" si="1"/>
        <v>38.655462184873954</v>
      </c>
      <c r="I19" s="610"/>
    </row>
    <row r="20" spans="1:9" ht="16.8" customHeight="1">
      <c r="A20" s="648">
        <v>15</v>
      </c>
      <c r="B20" s="66" t="s">
        <v>298</v>
      </c>
      <c r="C20" s="685">
        <v>2</v>
      </c>
      <c r="D20" s="685">
        <v>2</v>
      </c>
      <c r="E20" s="686">
        <f>D20/C20*100</f>
        <v>100</v>
      </c>
      <c r="F20" s="685">
        <v>2</v>
      </c>
      <c r="G20" s="685">
        <v>2</v>
      </c>
      <c r="H20" s="684">
        <f>G20/F20*100</f>
        <v>100</v>
      </c>
      <c r="I20" s="377" t="s">
        <v>616</v>
      </c>
    </row>
    <row r="21" spans="1:9" ht="31.2">
      <c r="A21" s="648">
        <v>16</v>
      </c>
      <c r="B21" s="337" t="s">
        <v>541</v>
      </c>
      <c r="C21" s="685"/>
      <c r="D21" s="685"/>
      <c r="E21" s="686"/>
      <c r="F21" s="685">
        <v>1</v>
      </c>
      <c r="G21" s="685">
        <v>1</v>
      </c>
      <c r="H21" s="686">
        <f t="shared" si="1"/>
        <v>100</v>
      </c>
      <c r="I21" s="610"/>
    </row>
    <row r="22" spans="1:9" ht="15.6">
      <c r="A22" s="648">
        <v>17</v>
      </c>
      <c r="B22" s="66" t="s">
        <v>594</v>
      </c>
      <c r="C22" s="685"/>
      <c r="D22" s="685"/>
      <c r="E22" s="686"/>
      <c r="F22" s="685">
        <v>1</v>
      </c>
      <c r="G22" s="685">
        <v>1</v>
      </c>
      <c r="H22" s="684">
        <f>G22/F22*100</f>
        <v>100</v>
      </c>
      <c r="I22" s="610"/>
    </row>
    <row r="23" spans="1:9" ht="15.6">
      <c r="A23" s="648">
        <v>18</v>
      </c>
      <c r="B23" s="337" t="s">
        <v>593</v>
      </c>
      <c r="C23" s="685"/>
      <c r="D23" s="685"/>
      <c r="E23" s="686"/>
      <c r="F23" s="685">
        <v>1</v>
      </c>
      <c r="G23" s="685">
        <v>0</v>
      </c>
      <c r="H23" s="684">
        <f t="shared" si="1"/>
        <v>0</v>
      </c>
      <c r="I23" s="610"/>
    </row>
  </sheetData>
  <mergeCells count="7">
    <mergeCell ref="I3:I4"/>
    <mergeCell ref="A2:I2"/>
    <mergeCell ref="A1:I1"/>
    <mergeCell ref="A3:A4"/>
    <mergeCell ref="B3:B4"/>
    <mergeCell ref="C3:E3"/>
    <mergeCell ref="F3:H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9D57-81CD-4D12-9E7C-E52B7F676211}">
  <dimension ref="A1:E20"/>
  <sheetViews>
    <sheetView workbookViewId="0">
      <selection activeCell="K7" sqref="K7"/>
    </sheetView>
  </sheetViews>
  <sheetFormatPr defaultRowHeight="14.4"/>
  <cols>
    <col min="1" max="1" width="6.33203125" customWidth="1"/>
    <col min="2" max="2" width="25" customWidth="1"/>
    <col min="3" max="3" width="15.44140625" customWidth="1"/>
    <col min="4" max="4" width="15.21875" customWidth="1"/>
    <col min="5" max="5" width="14.21875" customWidth="1"/>
  </cols>
  <sheetData>
    <row r="1" spans="1:5" ht="15.6">
      <c r="E1" s="688" t="s">
        <v>623</v>
      </c>
    </row>
    <row r="2" spans="1:5" ht="9.6" customHeight="1">
      <c r="A2" s="880"/>
      <c r="B2" s="880"/>
      <c r="C2" s="880"/>
      <c r="D2" s="880"/>
      <c r="E2" s="880"/>
    </row>
    <row r="3" spans="1:5" ht="9.6" customHeight="1">
      <c r="A3" s="880"/>
      <c r="B3" s="880"/>
      <c r="C3" s="880"/>
      <c r="D3" s="880"/>
      <c r="E3" s="880"/>
    </row>
    <row r="4" spans="1:5" ht="30" customHeight="1">
      <c r="A4" s="880" t="s">
        <v>605</v>
      </c>
      <c r="B4" s="880"/>
      <c r="C4" s="880"/>
      <c r="D4" s="880"/>
      <c r="E4" s="880"/>
    </row>
    <row r="5" spans="1:5" ht="33" customHeight="1">
      <c r="A5" s="175" t="s">
        <v>510</v>
      </c>
      <c r="B5" s="175" t="s">
        <v>603</v>
      </c>
      <c r="C5" s="175" t="s">
        <v>604</v>
      </c>
      <c r="D5" s="175" t="s">
        <v>608</v>
      </c>
      <c r="E5" s="175" t="s">
        <v>609</v>
      </c>
    </row>
    <row r="6" spans="1:5" ht="21.6" customHeight="1">
      <c r="A6" s="647"/>
      <c r="B6" s="175" t="s">
        <v>29</v>
      </c>
      <c r="C6" s="647">
        <f>SUM(C7:C20)</f>
        <v>62</v>
      </c>
      <c r="D6" s="647">
        <f t="shared" ref="D6:E6" si="0">SUM(D7:D20)</f>
        <v>23</v>
      </c>
      <c r="E6" s="647">
        <f t="shared" si="0"/>
        <v>10</v>
      </c>
    </row>
    <row r="7" spans="1:5" ht="15.6">
      <c r="A7" s="648">
        <v>1</v>
      </c>
      <c r="B7" s="644" t="s">
        <v>287</v>
      </c>
      <c r="C7" s="649">
        <v>1</v>
      </c>
      <c r="D7" s="649">
        <v>1</v>
      </c>
      <c r="E7" s="650"/>
    </row>
    <row r="8" spans="1:5" ht="15.6">
      <c r="A8" s="648">
        <v>2</v>
      </c>
      <c r="B8" s="644" t="s">
        <v>178</v>
      </c>
      <c r="C8" s="649">
        <v>4</v>
      </c>
      <c r="D8" s="649"/>
      <c r="E8" s="650"/>
    </row>
    <row r="9" spans="1:5" ht="15.6">
      <c r="A9" s="648">
        <v>3</v>
      </c>
      <c r="B9" s="644" t="s">
        <v>291</v>
      </c>
      <c r="C9" s="649">
        <v>1</v>
      </c>
      <c r="D9" s="649">
        <v>1</v>
      </c>
      <c r="E9" s="650"/>
    </row>
    <row r="10" spans="1:5" ht="15.6">
      <c r="A10" s="648">
        <v>4</v>
      </c>
      <c r="B10" s="644" t="s">
        <v>134</v>
      </c>
      <c r="C10" s="649">
        <v>3</v>
      </c>
      <c r="D10" s="649"/>
      <c r="E10" s="650"/>
    </row>
    <row r="11" spans="1:5" ht="15.6">
      <c r="A11" s="648">
        <v>5</v>
      </c>
      <c r="B11" s="644" t="s">
        <v>294</v>
      </c>
      <c r="C11" s="649">
        <v>2</v>
      </c>
      <c r="D11" s="649">
        <v>1</v>
      </c>
      <c r="E11" s="650"/>
    </row>
    <row r="12" spans="1:5" ht="15.6">
      <c r="A12" s="648">
        <v>6</v>
      </c>
      <c r="B12" s="645" t="s">
        <v>133</v>
      </c>
      <c r="C12" s="649">
        <v>2</v>
      </c>
      <c r="D12" s="649">
        <v>2</v>
      </c>
      <c r="E12" s="650"/>
    </row>
    <row r="13" spans="1:5" ht="15.6">
      <c r="A13" s="648">
        <v>7</v>
      </c>
      <c r="B13" s="644" t="s">
        <v>175</v>
      </c>
      <c r="C13" s="649">
        <v>6</v>
      </c>
      <c r="D13" s="649">
        <v>2</v>
      </c>
      <c r="E13" s="650">
        <v>2</v>
      </c>
    </row>
    <row r="14" spans="1:5" ht="15.6">
      <c r="A14" s="648">
        <v>8</v>
      </c>
      <c r="B14" s="644" t="s">
        <v>297</v>
      </c>
      <c r="C14" s="649">
        <v>1</v>
      </c>
      <c r="D14" s="649"/>
      <c r="E14" s="650"/>
    </row>
    <row r="15" spans="1:5" ht="15.6">
      <c r="A15" s="648">
        <v>9</v>
      </c>
      <c r="B15" s="644" t="s">
        <v>293</v>
      </c>
      <c r="C15" s="649">
        <v>3</v>
      </c>
      <c r="D15" s="649"/>
      <c r="E15" s="650"/>
    </row>
    <row r="16" spans="1:5" ht="15.6">
      <c r="A16" s="648">
        <v>10</v>
      </c>
      <c r="B16" s="644" t="s">
        <v>290</v>
      </c>
      <c r="C16" s="649">
        <v>1</v>
      </c>
      <c r="D16" s="649"/>
      <c r="E16" s="650"/>
    </row>
    <row r="17" spans="1:5" ht="15.6">
      <c r="A17" s="648">
        <v>11</v>
      </c>
      <c r="B17" s="644" t="s">
        <v>289</v>
      </c>
      <c r="C17" s="649">
        <v>1</v>
      </c>
      <c r="D17" s="649"/>
      <c r="E17" s="650"/>
    </row>
    <row r="18" spans="1:5" ht="15.6">
      <c r="A18" s="648">
        <v>12</v>
      </c>
      <c r="B18" s="644" t="s">
        <v>295</v>
      </c>
      <c r="C18" s="649">
        <v>1</v>
      </c>
      <c r="D18" s="649"/>
      <c r="E18" s="650"/>
    </row>
    <row r="19" spans="1:5" ht="15.6">
      <c r="A19" s="648">
        <v>13</v>
      </c>
      <c r="B19" s="646" t="s">
        <v>184</v>
      </c>
      <c r="C19" s="649">
        <v>2</v>
      </c>
      <c r="D19" s="649">
        <v>1</v>
      </c>
      <c r="E19" s="650"/>
    </row>
    <row r="20" spans="1:5">
      <c r="A20" s="648">
        <v>14</v>
      </c>
      <c r="B20" s="651" t="s">
        <v>590</v>
      </c>
      <c r="C20" s="649">
        <v>34</v>
      </c>
      <c r="D20" s="649">
        <v>15</v>
      </c>
      <c r="E20" s="650">
        <v>8</v>
      </c>
    </row>
  </sheetData>
  <mergeCells count="3">
    <mergeCell ref="A4:E4"/>
    <mergeCell ref="A2:E2"/>
    <mergeCell ref="A3:E3"/>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TOM TAT</vt:lpstr>
      <vt:lpstr>KH 2023</vt:lpstr>
      <vt:lpstr>CT MTQG 2023</vt:lpstr>
      <vt:lpstr>VON 22 KEO DAI 23</vt:lpstr>
      <vt:lpstr>LUT BAO</vt:lpstr>
      <vt:lpstr>XEP THEO CĐT 2022</vt:lpstr>
      <vt:lpstr>XEP THEO CĐT 2023</vt:lpstr>
      <vt:lpstr>THONG KE GIAI NGAN CHAM</vt:lpstr>
      <vt:lpstr>TIEN DO CBDT</vt:lpstr>
      <vt:lpstr>dau dat</vt:lpstr>
      <vt:lpstr>KHV NAM 2024</vt:lpstr>
      <vt:lpstr>TOM TAT (2)</vt:lpstr>
      <vt:lpstr>'CT MTQG 2023'!Print_Area</vt:lpstr>
      <vt:lpstr>'dau dat'!Print_Area</vt:lpstr>
      <vt:lpstr>'KH 2023'!Print_Area</vt:lpstr>
      <vt:lpstr>'KHV NAM 2024'!Print_Area</vt:lpstr>
      <vt:lpstr>'LUT BAO'!Print_Area</vt:lpstr>
      <vt:lpstr>'TOM TAT'!Print_Area</vt:lpstr>
      <vt:lpstr>'TOM TAT (2)'!Print_Area</vt:lpstr>
      <vt:lpstr>'VON 22 KEO DAI 23'!Print_Area</vt:lpstr>
      <vt:lpstr>'CT MTQG 2023'!Print_Titles</vt:lpstr>
      <vt:lpstr>'dau dat'!Print_Titles</vt:lpstr>
      <vt:lpstr>'KH 2023'!Print_Titles</vt:lpstr>
      <vt:lpstr>'KHV NAM 2024'!Print_Titles</vt:lpstr>
      <vt:lpstr>'TOM TAT'!Print_Titles</vt:lpstr>
      <vt:lpstr>'TOM TAT (2)'!Print_Titles</vt:lpstr>
      <vt:lpstr>'VON 22 KEO DAI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Office</cp:lastModifiedBy>
  <cp:lastPrinted>2023-11-28T04:15:41Z</cp:lastPrinted>
  <dcterms:created xsi:type="dcterms:W3CDTF">2021-01-06T08:22:11Z</dcterms:created>
  <dcterms:modified xsi:type="dcterms:W3CDTF">2023-12-01T04:12:18Z</dcterms:modified>
</cp:coreProperties>
</file>